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2019\"/>
    </mc:Choice>
  </mc:AlternateContent>
  <bookViews>
    <workbookView xWindow="0" yWindow="0" windowWidth="28800" windowHeight="14235"/>
  </bookViews>
  <sheets>
    <sheet name="Resultat" sheetId="3" r:id="rId1"/>
    <sheet name="Balanse" sheetId="4" r:id="rId2"/>
  </sheets>
  <definedNames>
    <definedName name="_xlnm.Print_Area" localSheetId="1">Balanse!$A$1:$C$54</definedName>
    <definedName name="_xlnm.Print_Area" localSheetId="0">Resultat!$A$1:$N$95</definedName>
  </definedNames>
  <calcPr calcId="162913"/>
</workbook>
</file>

<file path=xl/calcChain.xml><?xml version="1.0" encoding="utf-8"?>
<calcChain xmlns="http://schemas.openxmlformats.org/spreadsheetml/2006/main">
  <c r="M17" i="3" l="1"/>
  <c r="M50" i="3" l="1"/>
  <c r="C94" i="3"/>
  <c r="C92" i="3"/>
  <c r="C90" i="3"/>
  <c r="C67" i="3"/>
  <c r="M66" i="3"/>
  <c r="C52" i="3"/>
  <c r="C42" i="3"/>
  <c r="C39" i="3"/>
  <c r="C32" i="3"/>
  <c r="C30" i="3"/>
  <c r="C21" i="3"/>
  <c r="C18" i="3"/>
  <c r="C15" i="3"/>
  <c r="C5" i="3"/>
  <c r="C43" i="3" l="1"/>
  <c r="C20" i="3"/>
  <c r="C23" i="3" l="1"/>
  <c r="C19" i="3"/>
  <c r="C11" i="3"/>
  <c r="C75" i="3" l="1"/>
  <c r="M70" i="3" l="1"/>
  <c r="M71" i="3"/>
  <c r="G32" i="3"/>
  <c r="C80" i="3" l="1"/>
  <c r="M25" i="3"/>
  <c r="M24" i="3"/>
  <c r="M14" i="3"/>
  <c r="N24" i="3"/>
  <c r="N21" i="3"/>
  <c r="N14" i="3"/>
  <c r="N31" i="3" l="1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30" i="3"/>
  <c r="L89" i="3"/>
  <c r="L29" i="3"/>
  <c r="J89" i="3"/>
  <c r="J29" i="3"/>
  <c r="H89" i="3"/>
  <c r="H29" i="3"/>
  <c r="M91" i="3"/>
  <c r="M93" i="3"/>
  <c r="M90" i="3"/>
  <c r="M31" i="3"/>
  <c r="M32" i="3"/>
  <c r="M33" i="3"/>
  <c r="M34" i="3"/>
  <c r="M35" i="3"/>
  <c r="M36" i="3"/>
  <c r="M37" i="3"/>
  <c r="M38" i="3"/>
  <c r="M40" i="3"/>
  <c r="M41" i="3"/>
  <c r="M42" i="3"/>
  <c r="M43" i="3"/>
  <c r="M44" i="3"/>
  <c r="M45" i="3"/>
  <c r="M46" i="3"/>
  <c r="M47" i="3"/>
  <c r="M48" i="3"/>
  <c r="M49" i="3"/>
  <c r="M51" i="3"/>
  <c r="M53" i="3"/>
  <c r="M54" i="3"/>
  <c r="M55" i="3"/>
  <c r="M56" i="3"/>
  <c r="M57" i="3"/>
  <c r="M58" i="3"/>
  <c r="M59" i="3"/>
  <c r="M60" i="3"/>
  <c r="M61" i="3"/>
  <c r="M62" i="3"/>
  <c r="M63" i="3"/>
  <c r="M65" i="3"/>
  <c r="M68" i="3"/>
  <c r="M69" i="3"/>
  <c r="M72" i="3"/>
  <c r="M73" i="3"/>
  <c r="M74" i="3"/>
  <c r="M76" i="3"/>
  <c r="M77" i="3"/>
  <c r="M78" i="3"/>
  <c r="M79" i="3"/>
  <c r="M80" i="3"/>
  <c r="M81" i="3"/>
  <c r="M82" i="3"/>
  <c r="M83" i="3"/>
  <c r="M84" i="3"/>
  <c r="M86" i="3"/>
  <c r="M87" i="3"/>
  <c r="M88" i="3"/>
  <c r="F89" i="3"/>
  <c r="F29" i="3"/>
  <c r="N3" i="3"/>
  <c r="N4" i="3"/>
  <c r="N5" i="3"/>
  <c r="N6" i="3"/>
  <c r="N7" i="3"/>
  <c r="N8" i="3"/>
  <c r="N9" i="3"/>
  <c r="N10" i="3"/>
  <c r="N11" i="3"/>
  <c r="N12" i="3"/>
  <c r="N13" i="3"/>
  <c r="N15" i="3"/>
  <c r="N16" i="3"/>
  <c r="N17" i="3"/>
  <c r="N18" i="3"/>
  <c r="N19" i="3"/>
  <c r="N20" i="3"/>
  <c r="N22" i="3"/>
  <c r="N23" i="3"/>
  <c r="N26" i="3"/>
  <c r="N27" i="3"/>
  <c r="N28" i="3"/>
  <c r="N2" i="3"/>
  <c r="M3" i="3"/>
  <c r="M4" i="3"/>
  <c r="M6" i="3"/>
  <c r="M7" i="3"/>
  <c r="M8" i="3"/>
  <c r="M9" i="3"/>
  <c r="M10" i="3"/>
  <c r="M12" i="3"/>
  <c r="M13" i="3"/>
  <c r="M16" i="3"/>
  <c r="M18" i="3"/>
  <c r="M19" i="3"/>
  <c r="M20" i="3"/>
  <c r="M22" i="3"/>
  <c r="M23" i="3"/>
  <c r="M26" i="3"/>
  <c r="M27" i="3"/>
  <c r="M28" i="3"/>
  <c r="M2" i="3"/>
  <c r="D89" i="3"/>
  <c r="D29" i="3"/>
  <c r="L95" i="3" l="1"/>
  <c r="J95" i="3"/>
  <c r="H95" i="3"/>
  <c r="F95" i="3"/>
  <c r="N89" i="3"/>
  <c r="D95" i="3"/>
  <c r="N29" i="3"/>
  <c r="N95" i="3" l="1"/>
  <c r="M94" i="3"/>
  <c r="M92" i="3"/>
  <c r="M85" i="3"/>
  <c r="M75" i="3"/>
  <c r="M67" i="3"/>
  <c r="M64" i="3"/>
  <c r="M52" i="3"/>
  <c r="M39" i="3"/>
  <c r="M30" i="3"/>
  <c r="M21" i="3"/>
  <c r="M15" i="3"/>
  <c r="M5" i="3"/>
  <c r="C10" i="4" l="1"/>
  <c r="K29" i="3" l="1"/>
  <c r="K89" i="3"/>
  <c r="K95" i="3" l="1"/>
  <c r="I29" i="3" l="1"/>
  <c r="G29" i="3"/>
  <c r="E29" i="3"/>
  <c r="C89" i="3" l="1"/>
  <c r="C13" i="4" l="1"/>
  <c r="C49" i="4" l="1"/>
  <c r="C26" i="4" l="1"/>
  <c r="I89" i="3"/>
  <c r="G89" i="3"/>
  <c r="G95" i="3" s="1"/>
  <c r="I95" i="3" l="1"/>
  <c r="C43" i="4" l="1"/>
  <c r="C39" i="4"/>
  <c r="C37" i="4"/>
  <c r="C33" i="4"/>
  <c r="C15" i="4"/>
  <c r="C50" i="4" l="1"/>
  <c r="C27" i="4"/>
  <c r="E89" i="3" l="1"/>
  <c r="M89" i="3" s="1"/>
  <c r="E95" i="3" l="1"/>
  <c r="XFA49" i="4"/>
  <c r="C51" i="4"/>
  <c r="C29" i="3"/>
  <c r="C95" i="3" s="1"/>
  <c r="M11" i="3"/>
  <c r="M29" i="3" s="1"/>
  <c r="M95" i="3" s="1"/>
</calcChain>
</file>

<file path=xl/comments1.xml><?xml version="1.0" encoding="utf-8"?>
<comments xmlns="http://schemas.openxmlformats.org/spreadsheetml/2006/main">
  <authors>
    <author>Miliane Haugene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Miliane Haugene:</t>
        </r>
        <r>
          <rPr>
            <sz val="9"/>
            <color indexed="81"/>
            <rFont val="Tahoma"/>
            <family val="2"/>
          </rPr>
          <t xml:space="preserve">
Next Event kr 10.000,- Tannlege Rustad kr 5.000,- og Autotechnik kr 5.000,-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Miliane Haugene:</t>
        </r>
        <r>
          <rPr>
            <sz val="9"/>
            <color indexed="81"/>
            <rFont val="Tahoma"/>
            <family val="2"/>
          </rPr>
          <t xml:space="preserve">
Larvikbanken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Miliane Haugene:</t>
        </r>
        <r>
          <rPr>
            <sz val="9"/>
            <color indexed="81"/>
            <rFont val="Tahoma"/>
            <family val="2"/>
          </rPr>
          <t xml:space="preserve">
Granulatfilter kr 37500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Miliane Haugene:</t>
        </r>
        <r>
          <rPr>
            <sz val="9"/>
            <color indexed="81"/>
            <rFont val="Tahoma"/>
            <family val="2"/>
          </rPr>
          <t xml:space="preserve">
Dnbsparebankstiftelsen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Miliane Haugene:</t>
        </r>
        <r>
          <rPr>
            <sz val="9"/>
            <color indexed="81"/>
            <rFont val="Tahoma"/>
            <family val="2"/>
          </rPr>
          <t xml:space="preserve">
Spons kake markering 231019
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Miliane Haugene:</t>
        </r>
        <r>
          <rPr>
            <sz val="9"/>
            <color indexed="81"/>
            <rFont val="Tahoma"/>
            <family val="2"/>
          </rPr>
          <t xml:space="preserve">
Dnbsparebankmidler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Miliane Haugene:</t>
        </r>
        <r>
          <rPr>
            <sz val="9"/>
            <color indexed="81"/>
            <rFont val="Tahoma"/>
            <family val="2"/>
          </rPr>
          <t xml:space="preserve">
Dommerkvote til gode kr 47125,-
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>Miliane Haugene:</t>
        </r>
        <r>
          <rPr>
            <sz val="9"/>
            <color indexed="81"/>
            <rFont val="Tahoma"/>
            <family val="2"/>
          </rPr>
          <t xml:space="preserve">
Gaver til 7 stk trenerassistenter
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</rPr>
          <t>Miliane Haugene:</t>
        </r>
        <r>
          <rPr>
            <sz val="9"/>
            <color indexed="81"/>
            <rFont val="Tahoma"/>
            <family val="2"/>
          </rPr>
          <t xml:space="preserve">
Asko J02/03 Bring.  Fakturert fra HF.
</t>
        </r>
      </text>
    </comment>
  </commentList>
</comments>
</file>

<file path=xl/sharedStrings.xml><?xml version="1.0" encoding="utf-8"?>
<sst xmlns="http://schemas.openxmlformats.org/spreadsheetml/2006/main" count="181" uniqueCount="178">
  <si>
    <t>Offentlig tilskudd/refusjon</t>
  </si>
  <si>
    <t>Årskontingenter</t>
  </si>
  <si>
    <t>Bingo/Grasrotandel</t>
  </si>
  <si>
    <t>Lønn til ansatte</t>
  </si>
  <si>
    <t>Feriepenger</t>
  </si>
  <si>
    <t>Arbeidsgiveravgift</t>
  </si>
  <si>
    <t>Arbeidsgiveravgift av påløpt ferielønn</t>
  </si>
  <si>
    <t>Annen kostnadsgodtgjørelse</t>
  </si>
  <si>
    <t>Renovasjon, vann, avløp vedr. lokaler</t>
  </si>
  <si>
    <t>Lys, varme vedr. lokaler</t>
  </si>
  <si>
    <t>Inventar</t>
  </si>
  <si>
    <t>Reparasjon og vedlikehold bygninger</t>
  </si>
  <si>
    <t>Reparasjon og vedlikehold utstyr</t>
  </si>
  <si>
    <t>Kontorrekvisita/ann./tidsskr</t>
  </si>
  <si>
    <t>Data/EDB Kostnad</t>
  </si>
  <si>
    <t>Møte, kurs, oppdatering og lignende</t>
  </si>
  <si>
    <t>Porto</t>
  </si>
  <si>
    <t>Diettkostnad, ikke oppgavepliktig</t>
  </si>
  <si>
    <t>Forsikringspremie</t>
  </si>
  <si>
    <t>Annen renteinntekt</t>
  </si>
  <si>
    <t>Rentekostnad,</t>
  </si>
  <si>
    <t>Annen finanskostnad</t>
  </si>
  <si>
    <t>HF</t>
  </si>
  <si>
    <t>TOTAL</t>
  </si>
  <si>
    <t>SUM UTGIFTER</t>
  </si>
  <si>
    <t>SUM INNTEKTER</t>
  </si>
  <si>
    <t>Avskrivning på bygg og fast eiendom</t>
  </si>
  <si>
    <t>SUM OVERSKUDD/UNDERSKUDD</t>
  </si>
  <si>
    <t>Telefon/datakom/tv</t>
  </si>
  <si>
    <t>Stevneinntekter</t>
  </si>
  <si>
    <t>Kommunale Tilskudd</t>
  </si>
  <si>
    <t>Leieinntekt klubbhytta</t>
  </si>
  <si>
    <t>Leieinntekt Nesjarhallen</t>
  </si>
  <si>
    <t>Leieinntekter annet</t>
  </si>
  <si>
    <t>Andre driftsrelaterte inntekter</t>
  </si>
  <si>
    <t>Idrettsmatriell</t>
  </si>
  <si>
    <t>Godtgjørelse trenere/lagledere</t>
  </si>
  <si>
    <t>Leie baner, haller etc</t>
  </si>
  <si>
    <t>Vaktmestertjenester</t>
  </si>
  <si>
    <t>Leie andre kontormaskiner</t>
  </si>
  <si>
    <t>Renhold</t>
  </si>
  <si>
    <t>Rekvisita</t>
  </si>
  <si>
    <t>Reparasjon og vedlikehold baner</t>
  </si>
  <si>
    <t>Reparasjon og vedlikehold anlegget</t>
  </si>
  <si>
    <t>Reisekostnader, ikke oppgavepliktig</t>
  </si>
  <si>
    <t>Annonsekostnader</t>
  </si>
  <si>
    <t>Sosiale tiltak</t>
  </si>
  <si>
    <t>Sosiale tiltak lag</t>
  </si>
  <si>
    <t>BALANSE</t>
  </si>
  <si>
    <t>Kundefordringer</t>
  </si>
  <si>
    <t>Sum Tomter, bygninger etc</t>
  </si>
  <si>
    <t>Sum obligasjoner og andre fordringer</t>
  </si>
  <si>
    <t>Sum kundefordringer</t>
  </si>
  <si>
    <t>Sum Bankinnskudd, kontanter o.l</t>
  </si>
  <si>
    <t>SUM EIENDELER</t>
  </si>
  <si>
    <t>EIENDELER</t>
  </si>
  <si>
    <t>EGENKAPITAL OG GJELD</t>
  </si>
  <si>
    <t>Udisponert årsresultat</t>
  </si>
  <si>
    <t>Annen egenkapital</t>
  </si>
  <si>
    <t>EGENKAPITAL</t>
  </si>
  <si>
    <t>GJELD</t>
  </si>
  <si>
    <t>Leverandørgjeld</t>
  </si>
  <si>
    <t>Sum lån</t>
  </si>
  <si>
    <t>Sum kortsiktig gjeld</t>
  </si>
  <si>
    <t>Skattetrekk</t>
  </si>
  <si>
    <t>Skyldig arbeidsgiveravgift</t>
  </si>
  <si>
    <t>Arb.giv.avg.pål.feriep</t>
  </si>
  <si>
    <t>Sum skyldig offentlige avgifter</t>
  </si>
  <si>
    <t>Skyldig lønn</t>
  </si>
  <si>
    <t>Skyldig feriepenger</t>
  </si>
  <si>
    <t>Sum annen kortsiktig gjeld</t>
  </si>
  <si>
    <t>SUM GJELD</t>
  </si>
  <si>
    <t>SUM GJELD OG EGENKAPITAL</t>
  </si>
  <si>
    <t>SUM EGENKAPITAL</t>
  </si>
  <si>
    <t>HÅNDBALL</t>
  </si>
  <si>
    <t>FOTBALL</t>
  </si>
  <si>
    <t>Kiosk</t>
  </si>
  <si>
    <t>Billettinntekter</t>
  </si>
  <si>
    <t>Inntekter PW-cup</t>
  </si>
  <si>
    <t>Nesjar Cup</t>
  </si>
  <si>
    <t>Egenandel cuper</t>
  </si>
  <si>
    <t>Overgangsgebyrer</t>
  </si>
  <si>
    <t>Godtgjørelse egne dommere</t>
  </si>
  <si>
    <t xml:space="preserve">Sponsorinntekter </t>
  </si>
  <si>
    <t>Markedsstøtte</t>
  </si>
  <si>
    <t>Forsikringspremie fotball</t>
  </si>
  <si>
    <t>Kasse, kontanter</t>
  </si>
  <si>
    <t>Reklameinntekter/skiltreklame</t>
  </si>
  <si>
    <t>kioskvarer</t>
  </si>
  <si>
    <t>Logotrykk</t>
  </si>
  <si>
    <t>Medlemskontigenter</t>
  </si>
  <si>
    <t>Startkontigent cuper/stevner</t>
  </si>
  <si>
    <t>Tilskudd lag</t>
  </si>
  <si>
    <t>Gebyrer, forsinkelsesrenter leverandører</t>
  </si>
  <si>
    <t>Andre fordringer gruppene</t>
  </si>
  <si>
    <t>Konvertible lån</t>
  </si>
  <si>
    <t>Dommerutgifter kampavvikling</t>
  </si>
  <si>
    <t>Startkontigenter krets/forbund</t>
  </si>
  <si>
    <t>Andre avgifter krets/forbund</t>
  </si>
  <si>
    <t>Gaver</t>
  </si>
  <si>
    <t>Premier</t>
  </si>
  <si>
    <t xml:space="preserve">Andre fordringer </t>
  </si>
  <si>
    <t>Nesjarcup</t>
  </si>
  <si>
    <t>Annen Kortsiktig gjeld</t>
  </si>
  <si>
    <t>Reisekostnader grupper/lag</t>
  </si>
  <si>
    <t>Momskompensasjon</t>
  </si>
  <si>
    <t>Bygninger og anlegg</t>
  </si>
  <si>
    <t>ALLIDR.</t>
  </si>
  <si>
    <t>Bankinnskudd HF småprosjekter</t>
  </si>
  <si>
    <t>Bankinnskudd HF DK</t>
  </si>
  <si>
    <t>Bankinnskudd HF prosjekter</t>
  </si>
  <si>
    <t>Bankinnskudd FB DK</t>
  </si>
  <si>
    <t>Bankinnskudd HB DK</t>
  </si>
  <si>
    <t>Bankinnskudd Nesjarcup</t>
  </si>
  <si>
    <t>Bankinnskudd FB Lagskonto</t>
  </si>
  <si>
    <t>Bankinnskudd HB Lagskonto</t>
  </si>
  <si>
    <t>Bankinnskudd HF skattetrekk</t>
  </si>
  <si>
    <t>Fri telefon/bredbånd</t>
  </si>
  <si>
    <t>Årskontigent støttemedlemmer</t>
  </si>
  <si>
    <t>NESJAR IF KONSOLIDERT</t>
  </si>
  <si>
    <t>Øremerkede tilskudd</t>
  </si>
  <si>
    <t>Tilskudd gruppene</t>
  </si>
  <si>
    <t>Salg av inventar/utstyr</t>
  </si>
  <si>
    <t>Samarbeidsavtaler</t>
  </si>
  <si>
    <t>Refusjon verv</t>
  </si>
  <si>
    <t>Kunstgress 11'er</t>
  </si>
  <si>
    <t>Vann</t>
  </si>
  <si>
    <t>Lagskonto Håndball</t>
  </si>
  <si>
    <t>Lagskonto Fotball</t>
  </si>
  <si>
    <t>Stevneutgifter</t>
  </si>
  <si>
    <t>Gebyrer/bøter krets/forbund</t>
  </si>
  <si>
    <t>Lotteri, Skrapelodd, kalendersalg</t>
  </si>
  <si>
    <t>Honorarer u/arb.giv.avg og u/feriep</t>
  </si>
  <si>
    <t>Annen rentekostnad (VIPPS)</t>
  </si>
  <si>
    <t>KAMPSP</t>
  </si>
  <si>
    <t>Lån kunstgress 11'er</t>
  </si>
  <si>
    <t>Arbeidsklær</t>
  </si>
  <si>
    <t>Representasjon</t>
  </si>
  <si>
    <t>Norsk Tipping</t>
  </si>
  <si>
    <t>Allidr.B</t>
  </si>
  <si>
    <t>HF B</t>
  </si>
  <si>
    <t>HB B</t>
  </si>
  <si>
    <t>FB B</t>
  </si>
  <si>
    <t>Kamp B</t>
  </si>
  <si>
    <t>BUDSJETT</t>
  </si>
  <si>
    <t>Annen fremmedtjeneste</t>
  </si>
  <si>
    <t>Trykksaker</t>
  </si>
  <si>
    <t>LAM</t>
  </si>
  <si>
    <t>HB Pw-cup</t>
  </si>
  <si>
    <t>Spes.off tilskudd</t>
  </si>
  <si>
    <t>HB J02/03 Bring leie Boligmappa Arena</t>
  </si>
  <si>
    <t>SUM</t>
  </si>
  <si>
    <t>Egeandel forsikring A-lag</t>
  </si>
  <si>
    <t>A-kort lagleder pw-cup</t>
  </si>
  <si>
    <t>Andre tilskudd</t>
  </si>
  <si>
    <t>Egenandel utstyr</t>
  </si>
  <si>
    <t>HF jakker/luer HB matkuponger pw-cup</t>
  </si>
  <si>
    <t>HB dommerutg akt.turn</t>
  </si>
  <si>
    <t>Advokat "strømsak"</t>
  </si>
  <si>
    <t xml:space="preserve">HF årsmøtet 2019 </t>
  </si>
  <si>
    <t>Dyreparken og Kattegatcup 2019</t>
  </si>
  <si>
    <t>se konto 3930. Diff er A-kort ledere Dyreparkencup 2019</t>
  </si>
  <si>
    <t>HB J02-03 Bring, Asko, HF J17 Kanalbruket</t>
  </si>
  <si>
    <t>Utstyrsmidler og BAMA</t>
  </si>
  <si>
    <t>Skap til hjertestarter + kaffetrakter og vaffeljern. HB kortbane</t>
  </si>
  <si>
    <t>HF Antikk og bruktmesse</t>
  </si>
  <si>
    <t>RESULTAT pr 31.12.19</t>
  </si>
  <si>
    <t>Leie maskiner</t>
  </si>
  <si>
    <t>Loddsalg grøtfest, HB dom.andeler, FB påm høstcup</t>
  </si>
  <si>
    <t>Høyere kom.avg</t>
  </si>
  <si>
    <t>Isolert 2019 er tilnærmet 300.000,- som budsjettert.</t>
  </si>
  <si>
    <t>Kjøpt vasketjenester i -19. Laura sykemeldt+cupene</t>
  </si>
  <si>
    <t>Oppgradering hall 450.000,-</t>
  </si>
  <si>
    <t>Granulatfilter 82.000,- Refundert 37500 fra L.K</t>
  </si>
  <si>
    <t>Hildes</t>
  </si>
  <si>
    <t>Mamut, KA og terminaler</t>
  </si>
  <si>
    <t>Vimpler Kattegat</t>
  </si>
  <si>
    <t>Kurs og egenandeler bylag, landslagskolen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</si>
</sst>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9" fillId="0" borderId="0"/>
  </cellStyleXfs>
  <cellXfs count="64">
    <xf numFmtId="0" fontId="0" fillId="0" borderId="0" xfId="0"/>
    <xf numFmtId="0" fontId="18" fillId="0" borderId="0" xfId="0" applyFont="1"/>
    <xf numFmtId="0" fontId="19" fillId="0" borderId="0" xfId="0" applyFont="1"/>
    <xf numFmtId="41" fontId="19" fillId="0" borderId="0" xfId="0" applyNumberFormat="1" applyFont="1" applyAlignment="1">
      <alignment horizontal="right"/>
    </xf>
    <xf numFmtId="0" fontId="19" fillId="0" borderId="10" xfId="0" applyFont="1" applyBorder="1"/>
    <xf numFmtId="0" fontId="19" fillId="0" borderId="11" xfId="0" applyFont="1" applyBorder="1"/>
    <xf numFmtId="0" fontId="19" fillId="0" borderId="13" xfId="0" applyFont="1" applyBorder="1"/>
    <xf numFmtId="0" fontId="19" fillId="0" borderId="0" xfId="0" applyFont="1" applyBorder="1"/>
    <xf numFmtId="41" fontId="19" fillId="0" borderId="0" xfId="0" applyNumberFormat="1" applyFont="1" applyBorder="1" applyAlignment="1">
      <alignment horizontal="right"/>
    </xf>
    <xf numFmtId="0" fontId="20" fillId="0" borderId="0" xfId="0" applyFont="1"/>
    <xf numFmtId="0" fontId="20" fillId="0" borderId="13" xfId="0" applyFont="1" applyBorder="1"/>
    <xf numFmtId="0" fontId="20" fillId="0" borderId="0" xfId="0" applyFont="1" applyBorder="1"/>
    <xf numFmtId="0" fontId="21" fillId="0" borderId="0" xfId="0" applyFont="1"/>
    <xf numFmtId="0" fontId="21" fillId="0" borderId="13" xfId="0" applyFont="1" applyBorder="1"/>
    <xf numFmtId="0" fontId="21" fillId="0" borderId="0" xfId="0" applyFont="1" applyBorder="1"/>
    <xf numFmtId="0" fontId="22" fillId="0" borderId="0" xfId="0" applyFont="1"/>
    <xf numFmtId="0" fontId="19" fillId="0" borderId="15" xfId="0" applyFont="1" applyBorder="1"/>
    <xf numFmtId="0" fontId="19" fillId="0" borderId="16" xfId="0" applyFont="1" applyBorder="1"/>
    <xf numFmtId="41" fontId="19" fillId="0" borderId="16" xfId="0" applyNumberFormat="1" applyFont="1" applyBorder="1" applyAlignment="1">
      <alignment horizontal="right"/>
    </xf>
    <xf numFmtId="41" fontId="19" fillId="0" borderId="12" xfId="0" applyNumberFormat="1" applyFont="1" applyBorder="1" applyAlignment="1">
      <alignment horizontal="right"/>
    </xf>
    <xf numFmtId="41" fontId="19" fillId="0" borderId="14" xfId="0" applyNumberFormat="1" applyFont="1" applyBorder="1" applyAlignment="1">
      <alignment horizontal="right"/>
    </xf>
    <xf numFmtId="41" fontId="21" fillId="0" borderId="14" xfId="0" applyNumberFormat="1" applyFont="1" applyBorder="1" applyAlignment="1">
      <alignment horizontal="right"/>
    </xf>
    <xf numFmtId="41" fontId="20" fillId="0" borderId="14" xfId="0" applyNumberFormat="1" applyFont="1" applyBorder="1" applyAlignment="1">
      <alignment horizontal="right"/>
    </xf>
    <xf numFmtId="0" fontId="23" fillId="0" borderId="0" xfId="0" applyFont="1"/>
    <xf numFmtId="3" fontId="22" fillId="0" borderId="0" xfId="0" applyNumberFormat="1" applyFont="1"/>
    <xf numFmtId="0" fontId="22" fillId="0" borderId="18" xfId="0" applyFont="1" applyBorder="1"/>
    <xf numFmtId="3" fontId="22" fillId="0" borderId="18" xfId="0" applyNumberFormat="1" applyFont="1" applyBorder="1"/>
    <xf numFmtId="0" fontId="20" fillId="0" borderId="18" xfId="0" applyFont="1" applyBorder="1"/>
    <xf numFmtId="3" fontId="20" fillId="0" borderId="18" xfId="0" applyNumberFormat="1" applyFont="1" applyBorder="1"/>
    <xf numFmtId="0" fontId="23" fillId="0" borderId="18" xfId="0" applyFont="1" applyBorder="1"/>
    <xf numFmtId="3" fontId="23" fillId="0" borderId="18" xfId="0" applyNumberFormat="1" applyFont="1" applyBorder="1"/>
    <xf numFmtId="3" fontId="20" fillId="0" borderId="18" xfId="0" applyNumberFormat="1" applyFont="1" applyBorder="1" applyAlignment="1">
      <alignment horizontal="center"/>
    </xf>
    <xf numFmtId="0" fontId="20" fillId="0" borderId="19" xfId="0" applyFont="1" applyBorder="1"/>
    <xf numFmtId="41" fontId="20" fillId="0" borderId="20" xfId="0" applyNumberFormat="1" applyFont="1" applyBorder="1" applyAlignment="1">
      <alignment horizontal="right"/>
    </xf>
    <xf numFmtId="0" fontId="19" fillId="0" borderId="18" xfId="0" applyFont="1" applyBorder="1"/>
    <xf numFmtId="0" fontId="18" fillId="0" borderId="18" xfId="0" applyFont="1" applyBorder="1"/>
    <xf numFmtId="0" fontId="21" fillId="0" borderId="21" xfId="0" applyFont="1" applyBorder="1"/>
    <xf numFmtId="41" fontId="21" fillId="0" borderId="22" xfId="0" applyNumberFormat="1" applyFont="1" applyBorder="1" applyAlignment="1">
      <alignment horizontal="right"/>
    </xf>
    <xf numFmtId="0" fontId="22" fillId="0" borderId="21" xfId="0" applyFont="1" applyBorder="1"/>
    <xf numFmtId="41" fontId="22" fillId="0" borderId="22" xfId="0" applyNumberFormat="1" applyFont="1" applyBorder="1" applyAlignment="1">
      <alignment horizontal="right"/>
    </xf>
    <xf numFmtId="0" fontId="20" fillId="0" borderId="21" xfId="0" applyFont="1" applyBorder="1"/>
    <xf numFmtId="41" fontId="20" fillId="0" borderId="22" xfId="0" applyNumberFormat="1" applyFont="1" applyBorder="1" applyAlignment="1">
      <alignment horizontal="right"/>
    </xf>
    <xf numFmtId="0" fontId="19" fillId="0" borderId="21" xfId="0" applyFont="1" applyBorder="1"/>
    <xf numFmtId="0" fontId="18" fillId="0" borderId="21" xfId="0" applyFont="1" applyBorder="1"/>
    <xf numFmtId="41" fontId="18" fillId="0" borderId="22" xfId="0" applyNumberFormat="1" applyFont="1" applyBorder="1" applyAlignment="1">
      <alignment horizontal="right"/>
    </xf>
    <xf numFmtId="3" fontId="18" fillId="0" borderId="0" xfId="0" applyNumberFormat="1" applyFont="1"/>
    <xf numFmtId="0" fontId="22" fillId="0" borderId="18" xfId="0" applyFont="1" applyFill="1" applyBorder="1"/>
    <xf numFmtId="3" fontId="22" fillId="0" borderId="18" xfId="0" applyNumberFormat="1" applyFont="1" applyFill="1" applyBorder="1"/>
    <xf numFmtId="0" fontId="22" fillId="0" borderId="0" xfId="0" applyFont="1" applyFill="1"/>
    <xf numFmtId="0" fontId="24" fillId="0" borderId="0" xfId="0" applyFont="1"/>
    <xf numFmtId="0" fontId="20" fillId="0" borderId="0" xfId="0" applyFont="1" applyFill="1"/>
    <xf numFmtId="3" fontId="23" fillId="0" borderId="18" xfId="0" applyNumberFormat="1" applyFont="1" applyFill="1" applyBorder="1"/>
    <xf numFmtId="3" fontId="20" fillId="33" borderId="18" xfId="0" applyNumberFormat="1" applyFont="1" applyFill="1" applyBorder="1" applyAlignment="1">
      <alignment horizontal="center"/>
    </xf>
    <xf numFmtId="3" fontId="22" fillId="33" borderId="18" xfId="0" applyNumberFormat="1" applyFont="1" applyFill="1" applyBorder="1"/>
    <xf numFmtId="3" fontId="23" fillId="33" borderId="18" xfId="0" applyNumberFormat="1" applyFont="1" applyFill="1" applyBorder="1"/>
    <xf numFmtId="3" fontId="20" fillId="33" borderId="18" xfId="0" applyNumberFormat="1" applyFont="1" applyFill="1" applyBorder="1"/>
    <xf numFmtId="3" fontId="26" fillId="0" borderId="18" xfId="0" applyNumberFormat="1" applyFont="1" applyBorder="1"/>
    <xf numFmtId="3" fontId="20" fillId="0" borderId="0" xfId="0" applyNumberFormat="1" applyFont="1"/>
    <xf numFmtId="14" fontId="21" fillId="0" borderId="14" xfId="0" applyNumberFormat="1" applyFont="1" applyBorder="1" applyAlignment="1">
      <alignment horizontal="left"/>
    </xf>
    <xf numFmtId="41" fontId="19" fillId="0" borderId="22" xfId="0" applyNumberFormat="1" applyFont="1" applyBorder="1" applyAlignment="1">
      <alignment horizontal="right"/>
    </xf>
    <xf numFmtId="0" fontId="20" fillId="0" borderId="15" xfId="0" applyFont="1" applyBorder="1"/>
    <xf numFmtId="0" fontId="20" fillId="0" borderId="16" xfId="0" applyFont="1" applyBorder="1"/>
    <xf numFmtId="41" fontId="20" fillId="0" borderId="17" xfId="0" applyNumberFormat="1" applyFont="1" applyBorder="1" applyAlignment="1">
      <alignment horizontal="right"/>
    </xf>
    <xf numFmtId="41" fontId="23" fillId="0" borderId="22" xfId="0" applyNumberFormat="1" applyFont="1" applyBorder="1" applyAlignment="1">
      <alignment horizontal="right"/>
    </xf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ormal 2" xfId="42"/>
    <cellStyle name="Normal 3" xfId="43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tabSelected="1" zoomScale="120" zoomScaleNormal="120" workbookViewId="0">
      <pane ySplit="1" topLeftCell="A79" activePane="bottomLeft" state="frozen"/>
      <selection pane="bottomLeft" activeCell="O81" sqref="O81"/>
    </sheetView>
  </sheetViews>
  <sheetFormatPr baseColWidth="10" defaultColWidth="11.42578125" defaultRowHeight="12.75" x14ac:dyDescent="0.2"/>
  <cols>
    <col min="1" max="1" width="5.28515625" style="15" bestFit="1" customWidth="1"/>
    <col min="2" max="2" width="30" style="15" bestFit="1" customWidth="1"/>
    <col min="3" max="4" width="9.42578125" style="24" bestFit="1" customWidth="1"/>
    <col min="5" max="5" width="8" style="24" bestFit="1" customWidth="1"/>
    <col min="6" max="6" width="7" style="24" bestFit="1" customWidth="1"/>
    <col min="7" max="7" width="9.7109375" style="24" bestFit="1" customWidth="1"/>
    <col min="8" max="8" width="9.42578125" style="24" bestFit="1" customWidth="1"/>
    <col min="9" max="10" width="8" style="24" bestFit="1" customWidth="1"/>
    <col min="11" max="11" width="7.85546875" style="24" bestFit="1" customWidth="1"/>
    <col min="12" max="12" width="7" style="24" bestFit="1" customWidth="1"/>
    <col min="13" max="14" width="9.42578125" style="24" bestFit="1" customWidth="1"/>
    <col min="15" max="15" width="69.85546875" style="9" bestFit="1" customWidth="1"/>
    <col min="16" max="16384" width="11.42578125" style="15"/>
  </cols>
  <sheetData>
    <row r="1" spans="1:15" s="9" customFormat="1" x14ac:dyDescent="0.2">
      <c r="A1" s="27"/>
      <c r="B1" s="27" t="s">
        <v>166</v>
      </c>
      <c r="C1" s="31" t="s">
        <v>22</v>
      </c>
      <c r="D1" s="52" t="s">
        <v>140</v>
      </c>
      <c r="E1" s="31" t="s">
        <v>107</v>
      </c>
      <c r="F1" s="52" t="s">
        <v>139</v>
      </c>
      <c r="G1" s="31" t="s">
        <v>74</v>
      </c>
      <c r="H1" s="52" t="s">
        <v>141</v>
      </c>
      <c r="I1" s="31" t="s">
        <v>75</v>
      </c>
      <c r="J1" s="52" t="s">
        <v>142</v>
      </c>
      <c r="K1" s="31" t="s">
        <v>134</v>
      </c>
      <c r="L1" s="52" t="s">
        <v>143</v>
      </c>
      <c r="M1" s="31" t="s">
        <v>23</v>
      </c>
      <c r="N1" s="52" t="s">
        <v>144</v>
      </c>
    </row>
    <row r="2" spans="1:15" x14ac:dyDescent="0.2">
      <c r="A2" s="25">
        <v>3110</v>
      </c>
      <c r="B2" s="25" t="s">
        <v>84</v>
      </c>
      <c r="C2" s="26">
        <v>-235000</v>
      </c>
      <c r="D2" s="53">
        <v>-255000</v>
      </c>
      <c r="E2" s="26"/>
      <c r="F2" s="53"/>
      <c r="G2" s="26"/>
      <c r="H2" s="53"/>
      <c r="I2" s="26"/>
      <c r="J2" s="53"/>
      <c r="K2" s="26"/>
      <c r="L2" s="53"/>
      <c r="M2" s="26">
        <f>SUM(C2+E2+G2+I2+K2)</f>
        <v>-235000</v>
      </c>
      <c r="N2" s="53">
        <f>D2+F2+H2+J2+L2</f>
        <v>-255000</v>
      </c>
    </row>
    <row r="3" spans="1:15" x14ac:dyDescent="0.2">
      <c r="A3" s="25">
        <v>3120</v>
      </c>
      <c r="B3" s="25" t="s">
        <v>83</v>
      </c>
      <c r="C3" s="26"/>
      <c r="D3" s="53"/>
      <c r="E3" s="30">
        <v>-22000</v>
      </c>
      <c r="F3" s="53"/>
      <c r="G3" s="26"/>
      <c r="H3" s="53"/>
      <c r="I3" s="26"/>
      <c r="J3" s="53"/>
      <c r="K3" s="26"/>
      <c r="L3" s="53"/>
      <c r="M3" s="26">
        <f t="shared" ref="M3:M28" si="0">SUM(C3+E3+G3+I3+K3)</f>
        <v>-22000</v>
      </c>
      <c r="N3" s="53">
        <f t="shared" ref="N3:N69" si="1">D3+F3+H3+J3+L3</f>
        <v>0</v>
      </c>
    </row>
    <row r="4" spans="1:15" x14ac:dyDescent="0.2">
      <c r="A4" s="25">
        <v>3125</v>
      </c>
      <c r="B4" s="25" t="s">
        <v>87</v>
      </c>
      <c r="C4" s="26">
        <v>-97000</v>
      </c>
      <c r="D4" s="53">
        <v>-110000</v>
      </c>
      <c r="E4" s="26"/>
      <c r="F4" s="53"/>
      <c r="G4" s="26"/>
      <c r="H4" s="53"/>
      <c r="I4" s="26"/>
      <c r="J4" s="53"/>
      <c r="K4" s="26"/>
      <c r="L4" s="53"/>
      <c r="M4" s="26">
        <f t="shared" si="0"/>
        <v>-97000</v>
      </c>
      <c r="N4" s="53">
        <f t="shared" si="1"/>
        <v>-110000</v>
      </c>
    </row>
    <row r="5" spans="1:15" s="23" customFormat="1" x14ac:dyDescent="0.2">
      <c r="A5" s="29">
        <v>3210</v>
      </c>
      <c r="B5" s="29" t="s">
        <v>76</v>
      </c>
      <c r="C5" s="30">
        <f>-297445.63-E5-G5-I5-K5</f>
        <v>-20793</v>
      </c>
      <c r="D5" s="54">
        <v>-15000</v>
      </c>
      <c r="E5" s="30"/>
      <c r="F5" s="54"/>
      <c r="G5" s="30">
        <v>-148836.63</v>
      </c>
      <c r="H5" s="54">
        <v>-140000</v>
      </c>
      <c r="I5" s="30">
        <v>-127816</v>
      </c>
      <c r="J5" s="54">
        <v>-141000</v>
      </c>
      <c r="K5" s="30"/>
      <c r="L5" s="54"/>
      <c r="M5" s="30">
        <f t="shared" si="0"/>
        <v>-297445.63</v>
      </c>
      <c r="N5" s="54">
        <f t="shared" si="1"/>
        <v>-296000</v>
      </c>
      <c r="O5" s="9" t="s">
        <v>165</v>
      </c>
    </row>
    <row r="6" spans="1:15" x14ac:dyDescent="0.2">
      <c r="A6" s="25">
        <v>3220</v>
      </c>
      <c r="B6" s="25" t="s">
        <v>77</v>
      </c>
      <c r="C6" s="30"/>
      <c r="D6" s="54"/>
      <c r="E6" s="30"/>
      <c r="F6" s="54"/>
      <c r="G6" s="30">
        <v>-101495</v>
      </c>
      <c r="H6" s="54">
        <v>-100000</v>
      </c>
      <c r="I6" s="30">
        <v>-32800</v>
      </c>
      <c r="J6" s="54">
        <v>-35000</v>
      </c>
      <c r="K6" s="30"/>
      <c r="L6" s="54"/>
      <c r="M6" s="30">
        <f t="shared" si="0"/>
        <v>-134295</v>
      </c>
      <c r="N6" s="54">
        <f t="shared" si="1"/>
        <v>-135000</v>
      </c>
    </row>
    <row r="7" spans="1:15" hidden="1" x14ac:dyDescent="0.2">
      <c r="A7" s="25">
        <v>3300</v>
      </c>
      <c r="B7" s="25" t="s">
        <v>123</v>
      </c>
      <c r="C7" s="30"/>
      <c r="D7" s="54"/>
      <c r="E7" s="30"/>
      <c r="F7" s="54"/>
      <c r="G7" s="30"/>
      <c r="H7" s="54"/>
      <c r="I7" s="30"/>
      <c r="J7" s="54"/>
      <c r="K7" s="30"/>
      <c r="L7" s="54"/>
      <c r="M7" s="30">
        <f t="shared" si="0"/>
        <v>0</v>
      </c>
      <c r="N7" s="54">
        <f t="shared" si="1"/>
        <v>0</v>
      </c>
    </row>
    <row r="8" spans="1:15" x14ac:dyDescent="0.2">
      <c r="A8" s="25">
        <v>3310</v>
      </c>
      <c r="B8" s="25" t="s">
        <v>78</v>
      </c>
      <c r="C8" s="26"/>
      <c r="D8" s="53"/>
      <c r="E8" s="26"/>
      <c r="F8" s="53"/>
      <c r="G8" s="26">
        <v>-16200</v>
      </c>
      <c r="H8" s="53">
        <v>-15000</v>
      </c>
      <c r="I8" s="26"/>
      <c r="J8" s="53"/>
      <c r="K8" s="26"/>
      <c r="L8" s="53"/>
      <c r="M8" s="26">
        <f t="shared" si="0"/>
        <v>-16200</v>
      </c>
      <c r="N8" s="53">
        <f t="shared" si="1"/>
        <v>-15000</v>
      </c>
    </row>
    <row r="9" spans="1:15" x14ac:dyDescent="0.2">
      <c r="A9" s="25">
        <v>3320</v>
      </c>
      <c r="B9" s="25" t="s">
        <v>29</v>
      </c>
      <c r="C9" s="30"/>
      <c r="D9" s="54">
        <v>-20000</v>
      </c>
      <c r="E9" s="30">
        <v>-14650</v>
      </c>
      <c r="F9" s="54"/>
      <c r="G9" s="30">
        <v>-3600</v>
      </c>
      <c r="H9" s="54"/>
      <c r="I9" s="30">
        <v>-13000</v>
      </c>
      <c r="J9" s="54">
        <v>-25000</v>
      </c>
      <c r="K9" s="30"/>
      <c r="L9" s="54"/>
      <c r="M9" s="30">
        <f t="shared" si="0"/>
        <v>-31250</v>
      </c>
      <c r="N9" s="54">
        <f t="shared" si="1"/>
        <v>-45000</v>
      </c>
      <c r="O9" s="49" t="s">
        <v>168</v>
      </c>
    </row>
    <row r="10" spans="1:15" x14ac:dyDescent="0.2">
      <c r="A10" s="25">
        <v>3325</v>
      </c>
      <c r="B10" s="25" t="s">
        <v>79</v>
      </c>
      <c r="C10" s="26"/>
      <c r="D10" s="53"/>
      <c r="E10" s="26"/>
      <c r="F10" s="53"/>
      <c r="G10" s="30">
        <v>-864527.67</v>
      </c>
      <c r="H10" s="53">
        <v>-800000</v>
      </c>
      <c r="I10" s="26">
        <v>-44300</v>
      </c>
      <c r="J10" s="53">
        <v>-50000</v>
      </c>
      <c r="K10" s="26"/>
      <c r="L10" s="53"/>
      <c r="M10" s="26">
        <f t="shared" si="0"/>
        <v>-908827.67</v>
      </c>
      <c r="N10" s="53">
        <f t="shared" si="1"/>
        <v>-850000</v>
      </c>
    </row>
    <row r="11" spans="1:15" x14ac:dyDescent="0.2">
      <c r="A11" s="25">
        <v>3400</v>
      </c>
      <c r="B11" s="25" t="s">
        <v>0</v>
      </c>
      <c r="C11" s="26">
        <f>-142995-E11</f>
        <v>-139236</v>
      </c>
      <c r="D11" s="53">
        <v>-145000</v>
      </c>
      <c r="E11" s="26">
        <v>-3759</v>
      </c>
      <c r="F11" s="53"/>
      <c r="G11" s="26"/>
      <c r="H11" s="53"/>
      <c r="I11" s="26"/>
      <c r="J11" s="53"/>
      <c r="K11" s="26"/>
      <c r="L11" s="53"/>
      <c r="M11" s="26">
        <f t="shared" si="0"/>
        <v>-142995</v>
      </c>
      <c r="N11" s="53">
        <f t="shared" si="1"/>
        <v>-145000</v>
      </c>
      <c r="O11" s="9" t="s">
        <v>147</v>
      </c>
    </row>
    <row r="12" spans="1:15" x14ac:dyDescent="0.2">
      <c r="A12" s="25">
        <v>3410</v>
      </c>
      <c r="B12" s="25" t="s">
        <v>30</v>
      </c>
      <c r="C12" s="26">
        <v>-899600</v>
      </c>
      <c r="D12" s="53">
        <v>-950000</v>
      </c>
      <c r="E12" s="26"/>
      <c r="F12" s="53"/>
      <c r="G12" s="26"/>
      <c r="H12" s="53"/>
      <c r="I12" s="26"/>
      <c r="J12" s="53"/>
      <c r="K12" s="26"/>
      <c r="L12" s="53"/>
      <c r="M12" s="26">
        <f t="shared" si="0"/>
        <v>-899600</v>
      </c>
      <c r="N12" s="53">
        <f t="shared" si="1"/>
        <v>-950000</v>
      </c>
    </row>
    <row r="13" spans="1:15" hidden="1" x14ac:dyDescent="0.2">
      <c r="A13" s="25">
        <v>3440</v>
      </c>
      <c r="B13" s="25" t="s">
        <v>149</v>
      </c>
      <c r="C13" s="26"/>
      <c r="D13" s="53"/>
      <c r="E13" s="26"/>
      <c r="F13" s="53"/>
      <c r="G13" s="26"/>
      <c r="H13" s="53"/>
      <c r="I13" s="26"/>
      <c r="J13" s="53"/>
      <c r="K13" s="26"/>
      <c r="L13" s="53"/>
      <c r="M13" s="26">
        <f t="shared" si="0"/>
        <v>0</v>
      </c>
      <c r="N13" s="53">
        <f t="shared" si="1"/>
        <v>0</v>
      </c>
    </row>
    <row r="14" spans="1:15" x14ac:dyDescent="0.2">
      <c r="A14" s="25">
        <v>3441</v>
      </c>
      <c r="B14" s="25" t="s">
        <v>154</v>
      </c>
      <c r="C14" s="26"/>
      <c r="D14" s="53"/>
      <c r="E14" s="26"/>
      <c r="F14" s="53"/>
      <c r="G14" s="26"/>
      <c r="H14" s="53"/>
      <c r="I14" s="26"/>
      <c r="J14" s="53"/>
      <c r="K14" s="26">
        <v>-6000</v>
      </c>
      <c r="L14" s="53"/>
      <c r="M14" s="26">
        <f t="shared" si="0"/>
        <v>-6000</v>
      </c>
      <c r="N14" s="53">
        <f t="shared" si="1"/>
        <v>0</v>
      </c>
    </row>
    <row r="15" spans="1:15" x14ac:dyDescent="0.2">
      <c r="A15" s="25">
        <v>3442</v>
      </c>
      <c r="B15" s="25" t="s">
        <v>120</v>
      </c>
      <c r="C15" s="30">
        <f>-228038.57-E15-G15-I15-K15</f>
        <v>-40565.570000000007</v>
      </c>
      <c r="D15" s="54">
        <v>-7000</v>
      </c>
      <c r="E15" s="30">
        <v>-150000</v>
      </c>
      <c r="F15" s="54"/>
      <c r="G15" s="30">
        <v>-18620</v>
      </c>
      <c r="H15" s="54"/>
      <c r="I15" s="30">
        <v>-18853</v>
      </c>
      <c r="J15" s="54">
        <v>-18000</v>
      </c>
      <c r="K15" s="30"/>
      <c r="L15" s="54"/>
      <c r="M15" s="30">
        <f t="shared" si="0"/>
        <v>-228038.57</v>
      </c>
      <c r="N15" s="54">
        <f t="shared" si="1"/>
        <v>-25000</v>
      </c>
      <c r="O15" s="9" t="s">
        <v>163</v>
      </c>
    </row>
    <row r="16" spans="1:15" hidden="1" x14ac:dyDescent="0.2">
      <c r="A16" s="25">
        <v>3500</v>
      </c>
      <c r="B16" s="25" t="s">
        <v>122</v>
      </c>
      <c r="C16" s="26"/>
      <c r="D16" s="53"/>
      <c r="E16" s="26"/>
      <c r="F16" s="53"/>
      <c r="G16" s="26"/>
      <c r="H16" s="53"/>
      <c r="I16" s="26"/>
      <c r="J16" s="53"/>
      <c r="K16" s="26"/>
      <c r="L16" s="53"/>
      <c r="M16" s="26">
        <f t="shared" si="0"/>
        <v>0</v>
      </c>
      <c r="N16" s="53">
        <f t="shared" si="1"/>
        <v>0</v>
      </c>
    </row>
    <row r="17" spans="1:15" x14ac:dyDescent="0.2">
      <c r="A17" s="25">
        <v>3600</v>
      </c>
      <c r="B17" s="25" t="s">
        <v>31</v>
      </c>
      <c r="C17" s="26">
        <v>-34950</v>
      </c>
      <c r="D17" s="53">
        <v>-35000</v>
      </c>
      <c r="E17" s="26"/>
      <c r="F17" s="53"/>
      <c r="G17" s="26"/>
      <c r="H17" s="53"/>
      <c r="I17" s="26"/>
      <c r="J17" s="53"/>
      <c r="K17" s="26"/>
      <c r="L17" s="53"/>
      <c r="M17" s="26">
        <f t="shared" si="0"/>
        <v>-34950</v>
      </c>
      <c r="N17" s="53">
        <f t="shared" si="1"/>
        <v>-35000</v>
      </c>
    </row>
    <row r="18" spans="1:15" x14ac:dyDescent="0.2">
      <c r="A18" s="25">
        <v>3605</v>
      </c>
      <c r="B18" s="25" t="s">
        <v>32</v>
      </c>
      <c r="C18" s="30">
        <f>-92535-G18</f>
        <v>-77535</v>
      </c>
      <c r="D18" s="54">
        <v>-50000</v>
      </c>
      <c r="E18" s="30"/>
      <c r="F18" s="54"/>
      <c r="G18" s="30">
        <v>-15000</v>
      </c>
      <c r="H18" s="54">
        <v>-15000</v>
      </c>
      <c r="I18" s="30"/>
      <c r="J18" s="54"/>
      <c r="K18" s="30"/>
      <c r="L18" s="54"/>
      <c r="M18" s="30">
        <f t="shared" si="0"/>
        <v>-92535</v>
      </c>
      <c r="N18" s="54">
        <f t="shared" si="1"/>
        <v>-65000</v>
      </c>
      <c r="O18" s="9" t="s">
        <v>148</v>
      </c>
    </row>
    <row r="19" spans="1:15" x14ac:dyDescent="0.2">
      <c r="A19" s="25">
        <v>3620</v>
      </c>
      <c r="B19" s="25" t="s">
        <v>33</v>
      </c>
      <c r="C19" s="30">
        <f>-13000-J19</f>
        <v>-3000</v>
      </c>
      <c r="D19" s="53"/>
      <c r="E19" s="26"/>
      <c r="F19" s="53"/>
      <c r="G19" s="30"/>
      <c r="H19" s="53"/>
      <c r="I19" s="26">
        <v>-10000</v>
      </c>
      <c r="J19" s="53">
        <v>-10000</v>
      </c>
      <c r="K19" s="26"/>
      <c r="L19" s="53"/>
      <c r="M19" s="26">
        <f t="shared" si="0"/>
        <v>-13000</v>
      </c>
      <c r="N19" s="53">
        <f t="shared" si="1"/>
        <v>-10000</v>
      </c>
    </row>
    <row r="20" spans="1:15" x14ac:dyDescent="0.2">
      <c r="A20" s="25">
        <v>3900</v>
      </c>
      <c r="B20" s="25" t="s">
        <v>34</v>
      </c>
      <c r="C20" s="30">
        <f>-6360-E20-G20-I20-K20</f>
        <v>-1850</v>
      </c>
      <c r="D20" s="53">
        <v>-5000</v>
      </c>
      <c r="E20" s="26">
        <v>-2000</v>
      </c>
      <c r="F20" s="53"/>
      <c r="G20" s="26">
        <v>-2510</v>
      </c>
      <c r="H20" s="53"/>
      <c r="I20" s="26"/>
      <c r="J20" s="53"/>
      <c r="K20" s="26"/>
      <c r="L20" s="53"/>
      <c r="M20" s="26">
        <f t="shared" si="0"/>
        <v>-6360</v>
      </c>
      <c r="N20" s="53">
        <f t="shared" si="1"/>
        <v>-5000</v>
      </c>
      <c r="O20" s="9" t="s">
        <v>156</v>
      </c>
    </row>
    <row r="21" spans="1:15" x14ac:dyDescent="0.2">
      <c r="A21" s="25">
        <v>3920</v>
      </c>
      <c r="B21" s="25" t="s">
        <v>1</v>
      </c>
      <c r="C21" s="26">
        <f>-500499.5-E21-G21-I21-K21</f>
        <v>-147240</v>
      </c>
      <c r="D21" s="53">
        <v>-160000</v>
      </c>
      <c r="E21" s="26">
        <v>-34507.5</v>
      </c>
      <c r="F21" s="53">
        <v>-25000</v>
      </c>
      <c r="G21" s="26">
        <v>-71715</v>
      </c>
      <c r="H21" s="53">
        <v>-65000</v>
      </c>
      <c r="I21" s="26">
        <v>-247037</v>
      </c>
      <c r="J21" s="53">
        <v>-225000</v>
      </c>
      <c r="K21" s="26"/>
      <c r="L21" s="53">
        <v>-10000</v>
      </c>
      <c r="M21" s="26">
        <f t="shared" si="0"/>
        <v>-500499.5</v>
      </c>
      <c r="N21" s="53">
        <f t="shared" si="1"/>
        <v>-485000</v>
      </c>
    </row>
    <row r="22" spans="1:15" x14ac:dyDescent="0.2">
      <c r="A22" s="25">
        <v>3921</v>
      </c>
      <c r="B22" s="25" t="s">
        <v>118</v>
      </c>
      <c r="C22" s="26"/>
      <c r="D22" s="53">
        <v>-5000</v>
      </c>
      <c r="E22" s="26"/>
      <c r="F22" s="53"/>
      <c r="G22" s="26"/>
      <c r="H22" s="53"/>
      <c r="I22" s="26"/>
      <c r="J22" s="53"/>
      <c r="K22" s="26"/>
      <c r="L22" s="53"/>
      <c r="M22" s="26">
        <f t="shared" si="0"/>
        <v>0</v>
      </c>
      <c r="N22" s="53">
        <f t="shared" si="1"/>
        <v>-5000</v>
      </c>
    </row>
    <row r="23" spans="1:15" x14ac:dyDescent="0.2">
      <c r="A23" s="25">
        <v>3930</v>
      </c>
      <c r="B23" s="25" t="s">
        <v>80</v>
      </c>
      <c r="C23" s="26">
        <f>-153967.6-E23-G23-I23-K23</f>
        <v>0</v>
      </c>
      <c r="D23" s="53"/>
      <c r="E23" s="26"/>
      <c r="F23" s="53"/>
      <c r="G23" s="26">
        <v>-85900</v>
      </c>
      <c r="H23" s="54">
        <v>-115000</v>
      </c>
      <c r="I23" s="26">
        <v>-68067.600000000006</v>
      </c>
      <c r="J23" s="53"/>
      <c r="K23" s="26"/>
      <c r="L23" s="53">
        <v>-3000</v>
      </c>
      <c r="M23" s="26">
        <f t="shared" si="0"/>
        <v>-153967.6</v>
      </c>
      <c r="N23" s="53">
        <f t="shared" si="1"/>
        <v>-118000</v>
      </c>
      <c r="O23" s="49"/>
    </row>
    <row r="24" spans="1:15" x14ac:dyDescent="0.2">
      <c r="A24" s="25">
        <v>3931</v>
      </c>
      <c r="B24" s="25" t="s">
        <v>155</v>
      </c>
      <c r="C24" s="26"/>
      <c r="D24" s="53"/>
      <c r="E24" s="26"/>
      <c r="F24" s="53"/>
      <c r="G24" s="26"/>
      <c r="H24" s="54"/>
      <c r="I24" s="26"/>
      <c r="J24" s="53"/>
      <c r="K24" s="26">
        <v>-1800</v>
      </c>
      <c r="L24" s="53"/>
      <c r="M24" s="26">
        <f t="shared" si="0"/>
        <v>-1800</v>
      </c>
      <c r="N24" s="53">
        <f t="shared" si="1"/>
        <v>0</v>
      </c>
      <c r="O24" s="49"/>
    </row>
    <row r="25" spans="1:15" x14ac:dyDescent="0.2">
      <c r="A25" s="25">
        <v>3932</v>
      </c>
      <c r="B25" s="25" t="s">
        <v>152</v>
      </c>
      <c r="C25" s="26"/>
      <c r="D25" s="53"/>
      <c r="E25" s="26"/>
      <c r="F25" s="53"/>
      <c r="G25" s="26"/>
      <c r="H25" s="54"/>
      <c r="I25" s="26">
        <v>-10236</v>
      </c>
      <c r="J25" s="53"/>
      <c r="K25" s="26"/>
      <c r="L25" s="53"/>
      <c r="M25" s="26">
        <f t="shared" si="0"/>
        <v>-10236</v>
      </c>
      <c r="N25" s="53">
        <v>0</v>
      </c>
      <c r="O25" s="49"/>
    </row>
    <row r="26" spans="1:15" hidden="1" x14ac:dyDescent="0.2">
      <c r="A26" s="25">
        <v>3950</v>
      </c>
      <c r="B26" s="25" t="s">
        <v>131</v>
      </c>
      <c r="C26" s="26"/>
      <c r="D26" s="53"/>
      <c r="E26" s="26"/>
      <c r="F26" s="53"/>
      <c r="G26" s="26"/>
      <c r="H26" s="53"/>
      <c r="I26" s="26"/>
      <c r="J26" s="53"/>
      <c r="K26" s="26"/>
      <c r="L26" s="53"/>
      <c r="M26" s="26">
        <f t="shared" si="0"/>
        <v>0</v>
      </c>
      <c r="N26" s="53">
        <f t="shared" si="1"/>
        <v>0</v>
      </c>
      <c r="O26" s="49"/>
    </row>
    <row r="27" spans="1:15" x14ac:dyDescent="0.2">
      <c r="A27" s="25">
        <v>3960</v>
      </c>
      <c r="B27" s="25" t="s">
        <v>2</v>
      </c>
      <c r="C27" s="26">
        <v>-209829.42</v>
      </c>
      <c r="D27" s="53">
        <v>-140000</v>
      </c>
      <c r="E27" s="26"/>
      <c r="F27" s="53"/>
      <c r="G27" s="26"/>
      <c r="H27" s="53"/>
      <c r="I27" s="26"/>
      <c r="J27" s="53"/>
      <c r="K27" s="26"/>
      <c r="L27" s="53"/>
      <c r="M27" s="26">
        <f t="shared" si="0"/>
        <v>-209829.42</v>
      </c>
      <c r="N27" s="53">
        <f t="shared" si="1"/>
        <v>-140000</v>
      </c>
      <c r="O27" s="49" t="s">
        <v>138</v>
      </c>
    </row>
    <row r="28" spans="1:15" x14ac:dyDescent="0.2">
      <c r="A28" s="25">
        <v>3990</v>
      </c>
      <c r="B28" s="25" t="s">
        <v>105</v>
      </c>
      <c r="C28" s="30">
        <v>-254364</v>
      </c>
      <c r="D28" s="53">
        <v>-200000</v>
      </c>
      <c r="E28" s="26"/>
      <c r="F28" s="53"/>
      <c r="G28" s="26"/>
      <c r="H28" s="53"/>
      <c r="I28" s="26"/>
      <c r="J28" s="53"/>
      <c r="K28" s="26"/>
      <c r="L28" s="53"/>
      <c r="M28" s="26">
        <f t="shared" si="0"/>
        <v>-254364</v>
      </c>
      <c r="N28" s="53">
        <f t="shared" si="1"/>
        <v>-200000</v>
      </c>
    </row>
    <row r="29" spans="1:15" s="9" customFormat="1" x14ac:dyDescent="0.2">
      <c r="A29" s="27"/>
      <c r="B29" s="27" t="s">
        <v>25</v>
      </c>
      <c r="C29" s="28">
        <f t="shared" ref="C29:N29" si="2">SUM(C2:C28)</f>
        <v>-2160962.9900000002</v>
      </c>
      <c r="D29" s="55">
        <f>SUM(D2:D28)</f>
        <v>-2097000</v>
      </c>
      <c r="E29" s="28">
        <f t="shared" si="2"/>
        <v>-226916.5</v>
      </c>
      <c r="F29" s="55">
        <f t="shared" si="2"/>
        <v>-25000</v>
      </c>
      <c r="G29" s="28">
        <f t="shared" si="2"/>
        <v>-1328404.3</v>
      </c>
      <c r="H29" s="55">
        <f>SUM(H2:H28)</f>
        <v>-1250000</v>
      </c>
      <c r="I29" s="28">
        <f t="shared" si="2"/>
        <v>-572109.6</v>
      </c>
      <c r="J29" s="55">
        <f>SUM(J2:J28)</f>
        <v>-504000</v>
      </c>
      <c r="K29" s="28">
        <f t="shared" si="2"/>
        <v>-7800</v>
      </c>
      <c r="L29" s="55">
        <f>SUM(L2:L28)</f>
        <v>-13000</v>
      </c>
      <c r="M29" s="28">
        <f t="shared" si="2"/>
        <v>-4296193.3899999997</v>
      </c>
      <c r="N29" s="55">
        <f t="shared" si="2"/>
        <v>-3889000</v>
      </c>
    </row>
    <row r="30" spans="1:15" s="23" customFormat="1" x14ac:dyDescent="0.2">
      <c r="A30" s="29">
        <v>4110</v>
      </c>
      <c r="B30" s="29" t="s">
        <v>88</v>
      </c>
      <c r="C30" s="30">
        <f>137826.65-E30-G30-I30-K30</f>
        <v>9672.6499999999942</v>
      </c>
      <c r="D30" s="54">
        <v>10000</v>
      </c>
      <c r="E30" s="30"/>
      <c r="F30" s="54"/>
      <c r="G30" s="30">
        <v>69081</v>
      </c>
      <c r="H30" s="54">
        <v>70000</v>
      </c>
      <c r="I30" s="30">
        <v>59073</v>
      </c>
      <c r="J30" s="54">
        <v>70000</v>
      </c>
      <c r="K30" s="30"/>
      <c r="L30" s="54"/>
      <c r="M30" s="30">
        <f>SUM(C30+E30+G30+I30+K30)</f>
        <v>137826.65</v>
      </c>
      <c r="N30" s="53">
        <f t="shared" si="1"/>
        <v>150000</v>
      </c>
      <c r="O30" s="9" t="s">
        <v>165</v>
      </c>
    </row>
    <row r="31" spans="1:15" s="23" customFormat="1" ht="12.75" hidden="1" customHeight="1" x14ac:dyDescent="0.2">
      <c r="A31" s="29">
        <v>4400</v>
      </c>
      <c r="B31" s="29" t="s">
        <v>123</v>
      </c>
      <c r="C31" s="26"/>
      <c r="D31" s="53"/>
      <c r="E31" s="26"/>
      <c r="F31" s="53"/>
      <c r="G31" s="26"/>
      <c r="H31" s="53"/>
      <c r="I31" s="26"/>
      <c r="J31" s="53"/>
      <c r="K31" s="26"/>
      <c r="L31" s="53"/>
      <c r="M31" s="30">
        <f>SUM(C31+E31+G31+I31+K31)</f>
        <v>0</v>
      </c>
      <c r="N31" s="53">
        <f t="shared" si="1"/>
        <v>0</v>
      </c>
      <c r="O31" s="49"/>
    </row>
    <row r="32" spans="1:15" s="23" customFormat="1" x14ac:dyDescent="0.2">
      <c r="A32" s="29">
        <v>4420</v>
      </c>
      <c r="B32" s="29" t="s">
        <v>129</v>
      </c>
      <c r="C32" s="30">
        <f>(7890+2500)-E32-G32-I32-K32</f>
        <v>990</v>
      </c>
      <c r="D32" s="53"/>
      <c r="E32" s="26"/>
      <c r="F32" s="53"/>
      <c r="G32" s="30">
        <f>3600+2500</f>
        <v>6100</v>
      </c>
      <c r="H32" s="53"/>
      <c r="I32" s="26">
        <v>3300</v>
      </c>
      <c r="J32" s="53"/>
      <c r="K32" s="26"/>
      <c r="L32" s="53"/>
      <c r="M32" s="30">
        <f>SUM(C32+E32+G32+I32+K32)</f>
        <v>10390</v>
      </c>
      <c r="N32" s="53">
        <f t="shared" si="1"/>
        <v>0</v>
      </c>
      <c r="O32" s="49" t="s">
        <v>157</v>
      </c>
    </row>
    <row r="33" spans="1:15" x14ac:dyDescent="0.2">
      <c r="A33" s="25">
        <v>4425</v>
      </c>
      <c r="B33" s="25" t="s">
        <v>102</v>
      </c>
      <c r="C33" s="26"/>
      <c r="D33" s="53"/>
      <c r="E33" s="26"/>
      <c r="F33" s="53"/>
      <c r="G33" s="26">
        <v>593930.85</v>
      </c>
      <c r="H33" s="53">
        <v>600000</v>
      </c>
      <c r="I33" s="26">
        <v>7500</v>
      </c>
      <c r="J33" s="53">
        <v>7500</v>
      </c>
      <c r="K33" s="26"/>
      <c r="L33" s="53"/>
      <c r="M33" s="30">
        <f t="shared" ref="M33:M94" si="3">SUM(C33+E33+G33+I33+K33)</f>
        <v>601430.85</v>
      </c>
      <c r="N33" s="53">
        <f t="shared" si="1"/>
        <v>607500</v>
      </c>
      <c r="O33" s="49"/>
    </row>
    <row r="34" spans="1:15" ht="12.75" hidden="1" customHeight="1" x14ac:dyDescent="0.2">
      <c r="A34" s="25">
        <v>4650</v>
      </c>
      <c r="B34" s="25" t="s">
        <v>131</v>
      </c>
      <c r="C34" s="26"/>
      <c r="D34" s="53"/>
      <c r="E34" s="26"/>
      <c r="F34" s="53"/>
      <c r="G34" s="26"/>
      <c r="H34" s="53"/>
      <c r="I34" s="26"/>
      <c r="J34" s="53"/>
      <c r="K34" s="26"/>
      <c r="L34" s="53"/>
      <c r="M34" s="30">
        <f t="shared" si="3"/>
        <v>0</v>
      </c>
      <c r="N34" s="53">
        <f t="shared" si="1"/>
        <v>0</v>
      </c>
      <c r="O34" s="49"/>
    </row>
    <row r="35" spans="1:15" x14ac:dyDescent="0.2">
      <c r="A35" s="25">
        <v>5010</v>
      </c>
      <c r="B35" s="25" t="s">
        <v>3</v>
      </c>
      <c r="C35" s="26">
        <v>174895.5</v>
      </c>
      <c r="D35" s="53">
        <v>180000</v>
      </c>
      <c r="E35" s="26"/>
      <c r="F35" s="53"/>
      <c r="G35" s="26"/>
      <c r="H35" s="53"/>
      <c r="I35" s="26"/>
      <c r="J35" s="53"/>
      <c r="K35" s="26"/>
      <c r="L35" s="53"/>
      <c r="M35" s="30">
        <f t="shared" si="3"/>
        <v>174895.5</v>
      </c>
      <c r="N35" s="53">
        <f t="shared" si="1"/>
        <v>180000</v>
      </c>
    </row>
    <row r="36" spans="1:15" x14ac:dyDescent="0.2">
      <c r="A36" s="25">
        <v>5011</v>
      </c>
      <c r="B36" s="25" t="s">
        <v>132</v>
      </c>
      <c r="C36" s="26">
        <v>51204</v>
      </c>
      <c r="D36" s="53">
        <v>50000</v>
      </c>
      <c r="E36" s="26"/>
      <c r="F36" s="53"/>
      <c r="G36" s="26"/>
      <c r="H36" s="53"/>
      <c r="I36" s="26"/>
      <c r="J36" s="53"/>
      <c r="K36" s="26"/>
      <c r="L36" s="53"/>
      <c r="M36" s="30">
        <f t="shared" si="3"/>
        <v>51204</v>
      </c>
      <c r="N36" s="53">
        <f t="shared" si="1"/>
        <v>50000</v>
      </c>
    </row>
    <row r="37" spans="1:15" x14ac:dyDescent="0.2">
      <c r="A37" s="25">
        <v>5190</v>
      </c>
      <c r="B37" s="25" t="s">
        <v>4</v>
      </c>
      <c r="C37" s="26">
        <v>17839.34</v>
      </c>
      <c r="D37" s="53">
        <v>18300</v>
      </c>
      <c r="E37" s="26"/>
      <c r="F37" s="53"/>
      <c r="G37" s="26"/>
      <c r="H37" s="53"/>
      <c r="I37" s="26"/>
      <c r="J37" s="53"/>
      <c r="K37" s="26"/>
      <c r="L37" s="53"/>
      <c r="M37" s="30">
        <f t="shared" si="3"/>
        <v>17839.34</v>
      </c>
      <c r="N37" s="53">
        <f t="shared" si="1"/>
        <v>18300</v>
      </c>
    </row>
    <row r="38" spans="1:15" x14ac:dyDescent="0.2">
      <c r="A38" s="25">
        <v>5220</v>
      </c>
      <c r="B38" s="25" t="s">
        <v>117</v>
      </c>
      <c r="C38" s="26">
        <v>5822</v>
      </c>
      <c r="D38" s="53">
        <v>5000</v>
      </c>
      <c r="E38" s="26"/>
      <c r="F38" s="53"/>
      <c r="G38" s="26"/>
      <c r="H38" s="53"/>
      <c r="I38" s="26"/>
      <c r="J38" s="53"/>
      <c r="K38" s="26"/>
      <c r="L38" s="53"/>
      <c r="M38" s="30">
        <f t="shared" si="3"/>
        <v>5822</v>
      </c>
      <c r="N38" s="53">
        <f t="shared" si="1"/>
        <v>5000</v>
      </c>
    </row>
    <row r="39" spans="1:15" x14ac:dyDescent="0.2">
      <c r="A39" s="25">
        <v>5330</v>
      </c>
      <c r="B39" s="25" t="s">
        <v>36</v>
      </c>
      <c r="C39" s="30">
        <f>252120-E39-G39-I39</f>
        <v>0</v>
      </c>
      <c r="D39" s="54">
        <v>10000</v>
      </c>
      <c r="E39" s="30">
        <v>6120</v>
      </c>
      <c r="F39" s="54"/>
      <c r="G39" s="30">
        <v>77500</v>
      </c>
      <c r="H39" s="54">
        <v>100000</v>
      </c>
      <c r="I39" s="30">
        <v>168500</v>
      </c>
      <c r="J39" s="54">
        <v>150000</v>
      </c>
      <c r="K39" s="30"/>
      <c r="L39" s="54"/>
      <c r="M39" s="30">
        <f>SUM(C39+E39+G39+I39+K39)</f>
        <v>252120</v>
      </c>
      <c r="N39" s="53">
        <f t="shared" si="1"/>
        <v>260000</v>
      </c>
    </row>
    <row r="40" spans="1:15" x14ac:dyDescent="0.2">
      <c r="A40" s="25">
        <v>5410</v>
      </c>
      <c r="B40" s="25" t="s">
        <v>5</v>
      </c>
      <c r="C40" s="26">
        <v>24659.83</v>
      </c>
      <c r="D40" s="53">
        <v>25000</v>
      </c>
      <c r="E40" s="26"/>
      <c r="F40" s="53"/>
      <c r="G40" s="26"/>
      <c r="H40" s="53"/>
      <c r="I40" s="26"/>
      <c r="J40" s="53"/>
      <c r="K40" s="26"/>
      <c r="L40" s="53"/>
      <c r="M40" s="30">
        <f t="shared" si="3"/>
        <v>24659.83</v>
      </c>
      <c r="N40" s="53">
        <f t="shared" si="1"/>
        <v>25000</v>
      </c>
    </row>
    <row r="41" spans="1:15" x14ac:dyDescent="0.2">
      <c r="A41" s="25">
        <v>5411</v>
      </c>
      <c r="B41" s="25" t="s">
        <v>6</v>
      </c>
      <c r="C41" s="26">
        <v>2515.35</v>
      </c>
      <c r="D41" s="53">
        <v>2500</v>
      </c>
      <c r="E41" s="26"/>
      <c r="F41" s="53"/>
      <c r="G41" s="26"/>
      <c r="H41" s="53"/>
      <c r="I41" s="26"/>
      <c r="J41" s="53"/>
      <c r="K41" s="26"/>
      <c r="L41" s="53"/>
      <c r="M41" s="30">
        <f t="shared" si="3"/>
        <v>2515.35</v>
      </c>
      <c r="N41" s="53">
        <f t="shared" si="1"/>
        <v>2500</v>
      </c>
    </row>
    <row r="42" spans="1:15" x14ac:dyDescent="0.2">
      <c r="A42" s="25">
        <v>5500</v>
      </c>
      <c r="B42" s="25" t="s">
        <v>7</v>
      </c>
      <c r="C42" s="30">
        <f>32650-E42-G42-I42</f>
        <v>2800</v>
      </c>
      <c r="D42" s="53">
        <v>5000</v>
      </c>
      <c r="E42" s="26">
        <v>700</v>
      </c>
      <c r="F42" s="53"/>
      <c r="G42" s="26">
        <v>10150</v>
      </c>
      <c r="H42" s="53">
        <v>12000</v>
      </c>
      <c r="I42" s="26">
        <v>19000</v>
      </c>
      <c r="J42" s="53">
        <v>20000</v>
      </c>
      <c r="K42" s="26"/>
      <c r="L42" s="53"/>
      <c r="M42" s="30">
        <f>SUM(C42+E42+G42+I42+K42)</f>
        <v>32650</v>
      </c>
      <c r="N42" s="53">
        <f t="shared" si="1"/>
        <v>37000</v>
      </c>
      <c r="O42" s="9" t="s">
        <v>124</v>
      </c>
    </row>
    <row r="43" spans="1:15" x14ac:dyDescent="0.2">
      <c r="A43" s="25">
        <v>5550</v>
      </c>
      <c r="B43" s="25" t="s">
        <v>82</v>
      </c>
      <c r="C43" s="30">
        <f>23012.5-E43-G43-I43</f>
        <v>0</v>
      </c>
      <c r="D43" s="53"/>
      <c r="E43" s="26"/>
      <c r="F43" s="53"/>
      <c r="G43" s="26">
        <v>15995</v>
      </c>
      <c r="H43" s="53">
        <v>20000</v>
      </c>
      <c r="I43" s="26">
        <v>7017.5</v>
      </c>
      <c r="J43" s="53"/>
      <c r="K43" s="26"/>
      <c r="L43" s="53"/>
      <c r="M43" s="30">
        <f t="shared" si="3"/>
        <v>23012.5</v>
      </c>
      <c r="N43" s="53">
        <f t="shared" si="1"/>
        <v>20000</v>
      </c>
      <c r="O43" s="49"/>
    </row>
    <row r="44" spans="1:15" x14ac:dyDescent="0.2">
      <c r="A44" s="25">
        <v>6000</v>
      </c>
      <c r="B44" s="25" t="s">
        <v>26</v>
      </c>
      <c r="C44" s="26">
        <v>78860.94</v>
      </c>
      <c r="D44" s="53">
        <v>75000</v>
      </c>
      <c r="E44" s="26"/>
      <c r="F44" s="53"/>
      <c r="G44" s="26"/>
      <c r="H44" s="53"/>
      <c r="I44" s="26"/>
      <c r="J44" s="53"/>
      <c r="K44" s="26"/>
      <c r="L44" s="53"/>
      <c r="M44" s="30">
        <f t="shared" si="3"/>
        <v>78860.94</v>
      </c>
      <c r="N44" s="53">
        <f t="shared" si="1"/>
        <v>75000</v>
      </c>
    </row>
    <row r="45" spans="1:15" x14ac:dyDescent="0.2">
      <c r="A45" s="25">
        <v>6260</v>
      </c>
      <c r="B45" s="25" t="s">
        <v>126</v>
      </c>
      <c r="C45" s="26"/>
      <c r="D45" s="53">
        <v>4000</v>
      </c>
      <c r="E45" s="26"/>
      <c r="F45" s="53"/>
      <c r="G45" s="26"/>
      <c r="H45" s="53"/>
      <c r="I45" s="26"/>
      <c r="J45" s="53"/>
      <c r="K45" s="26"/>
      <c r="L45" s="53"/>
      <c r="M45" s="30">
        <f t="shared" si="3"/>
        <v>0</v>
      </c>
      <c r="N45" s="53">
        <f t="shared" si="1"/>
        <v>4000</v>
      </c>
    </row>
    <row r="46" spans="1:15" x14ac:dyDescent="0.2">
      <c r="A46" s="25">
        <v>6301</v>
      </c>
      <c r="B46" s="25" t="s">
        <v>37</v>
      </c>
      <c r="C46" s="26"/>
      <c r="D46" s="53"/>
      <c r="E46" s="26"/>
      <c r="F46" s="53"/>
      <c r="G46" s="30">
        <v>4387.5</v>
      </c>
      <c r="H46" s="53">
        <v>5000</v>
      </c>
      <c r="I46" s="26"/>
      <c r="J46" s="53"/>
      <c r="K46" s="26"/>
      <c r="L46" s="53"/>
      <c r="M46" s="30">
        <f t="shared" si="3"/>
        <v>4387.5</v>
      </c>
      <c r="N46" s="53">
        <f t="shared" si="1"/>
        <v>5000</v>
      </c>
      <c r="O46" s="9" t="s">
        <v>150</v>
      </c>
    </row>
    <row r="47" spans="1:15" x14ac:dyDescent="0.2">
      <c r="A47" s="25">
        <v>6320</v>
      </c>
      <c r="B47" s="25" t="s">
        <v>8</v>
      </c>
      <c r="C47" s="30">
        <v>75477.399999999994</v>
      </c>
      <c r="D47" s="53">
        <v>60000</v>
      </c>
      <c r="E47" s="26"/>
      <c r="F47" s="53"/>
      <c r="G47" s="56"/>
      <c r="H47" s="53"/>
      <c r="I47" s="26"/>
      <c r="J47" s="53"/>
      <c r="K47" s="26"/>
      <c r="L47" s="53"/>
      <c r="M47" s="30">
        <f t="shared" si="3"/>
        <v>75477.399999999994</v>
      </c>
      <c r="N47" s="53">
        <f t="shared" si="1"/>
        <v>60000</v>
      </c>
      <c r="O47" s="9" t="s">
        <v>169</v>
      </c>
    </row>
    <row r="48" spans="1:15" x14ac:dyDescent="0.2">
      <c r="A48" s="25">
        <v>6340</v>
      </c>
      <c r="B48" s="25" t="s">
        <v>9</v>
      </c>
      <c r="C48" s="30">
        <v>187219.16</v>
      </c>
      <c r="D48" s="53">
        <v>300000</v>
      </c>
      <c r="E48" s="26"/>
      <c r="F48" s="53"/>
      <c r="G48" s="26"/>
      <c r="H48" s="53"/>
      <c r="I48" s="26"/>
      <c r="J48" s="53"/>
      <c r="K48" s="26"/>
      <c r="L48" s="53"/>
      <c r="M48" s="30">
        <f t="shared" si="3"/>
        <v>187219.16</v>
      </c>
      <c r="N48" s="53">
        <f t="shared" si="1"/>
        <v>300000</v>
      </c>
      <c r="O48" s="9" t="s">
        <v>170</v>
      </c>
    </row>
    <row r="49" spans="1:15" x14ac:dyDescent="0.2">
      <c r="A49" s="25">
        <v>6360</v>
      </c>
      <c r="B49" s="25" t="s">
        <v>40</v>
      </c>
      <c r="C49" s="30">
        <v>42211</v>
      </c>
      <c r="D49" s="53">
        <v>20000</v>
      </c>
      <c r="E49" s="26"/>
      <c r="F49" s="53"/>
      <c r="G49" s="26"/>
      <c r="H49" s="53"/>
      <c r="I49" s="26"/>
      <c r="J49" s="53"/>
      <c r="K49" s="26"/>
      <c r="L49" s="53"/>
      <c r="M49" s="30">
        <f t="shared" si="3"/>
        <v>42211</v>
      </c>
      <c r="N49" s="53">
        <f t="shared" si="1"/>
        <v>20000</v>
      </c>
      <c r="O49" s="9" t="s">
        <v>171</v>
      </c>
    </row>
    <row r="50" spans="1:15" x14ac:dyDescent="0.2">
      <c r="A50" s="25">
        <v>6400</v>
      </c>
      <c r="B50" s="25" t="s">
        <v>167</v>
      </c>
      <c r="C50" s="30">
        <v>10729</v>
      </c>
      <c r="D50" s="53"/>
      <c r="E50" s="26"/>
      <c r="F50" s="53"/>
      <c r="G50" s="26"/>
      <c r="H50" s="53"/>
      <c r="I50" s="26"/>
      <c r="J50" s="53"/>
      <c r="K50" s="26"/>
      <c r="L50" s="53"/>
      <c r="M50" s="30">
        <f t="shared" si="3"/>
        <v>10729</v>
      </c>
      <c r="N50" s="53">
        <v>0</v>
      </c>
    </row>
    <row r="51" spans="1:15" x14ac:dyDescent="0.2">
      <c r="A51" s="25">
        <v>6430</v>
      </c>
      <c r="B51" s="25" t="s">
        <v>39</v>
      </c>
      <c r="C51" s="26">
        <v>3622.5</v>
      </c>
      <c r="D51" s="53">
        <v>6000</v>
      </c>
      <c r="E51" s="26"/>
      <c r="F51" s="53"/>
      <c r="G51" s="26"/>
      <c r="H51" s="53"/>
      <c r="I51" s="26"/>
      <c r="J51" s="53"/>
      <c r="K51" s="26"/>
      <c r="L51" s="53"/>
      <c r="M51" s="30">
        <f t="shared" si="3"/>
        <v>3622.5</v>
      </c>
      <c r="N51" s="53">
        <f t="shared" si="1"/>
        <v>6000</v>
      </c>
    </row>
    <row r="52" spans="1:15" s="23" customFormat="1" x14ac:dyDescent="0.2">
      <c r="A52" s="29">
        <v>6540</v>
      </c>
      <c r="B52" s="29" t="s">
        <v>10</v>
      </c>
      <c r="C52" s="30">
        <f>175018.47-E52-G52</f>
        <v>22051.690000000002</v>
      </c>
      <c r="D52" s="54">
        <v>10000</v>
      </c>
      <c r="E52" s="30">
        <v>149966.78</v>
      </c>
      <c r="F52" s="54"/>
      <c r="G52" s="30">
        <v>3000</v>
      </c>
      <c r="H52" s="54">
        <v>10000</v>
      </c>
      <c r="I52" s="30"/>
      <c r="J52" s="54"/>
      <c r="K52" s="30"/>
      <c r="L52" s="54"/>
      <c r="M52" s="30">
        <f t="shared" si="3"/>
        <v>175018.47</v>
      </c>
      <c r="N52" s="54">
        <f t="shared" si="1"/>
        <v>20000</v>
      </c>
      <c r="O52" s="49" t="s">
        <v>164</v>
      </c>
    </row>
    <row r="53" spans="1:15" x14ac:dyDescent="0.2">
      <c r="A53" s="25">
        <v>6560</v>
      </c>
      <c r="B53" s="25" t="s">
        <v>41</v>
      </c>
      <c r="C53" s="26">
        <v>35236.82</v>
      </c>
      <c r="D53" s="53">
        <v>40000</v>
      </c>
      <c r="E53" s="26"/>
      <c r="F53" s="53"/>
      <c r="G53" s="26"/>
      <c r="H53" s="53"/>
      <c r="I53" s="56"/>
      <c r="J53" s="53"/>
      <c r="K53" s="26"/>
      <c r="L53" s="53"/>
      <c r="M53" s="30">
        <f t="shared" si="3"/>
        <v>35236.82</v>
      </c>
      <c r="N53" s="53">
        <f t="shared" si="1"/>
        <v>40000</v>
      </c>
    </row>
    <row r="54" spans="1:15" hidden="1" x14ac:dyDescent="0.2">
      <c r="A54" s="25">
        <v>6570</v>
      </c>
      <c r="B54" s="25" t="s">
        <v>136</v>
      </c>
      <c r="C54" s="26"/>
      <c r="D54" s="53"/>
      <c r="E54" s="26"/>
      <c r="F54" s="53"/>
      <c r="G54" s="26"/>
      <c r="H54" s="53"/>
      <c r="I54" s="26"/>
      <c r="J54" s="53"/>
      <c r="K54" s="26"/>
      <c r="L54" s="53"/>
      <c r="M54" s="30">
        <f t="shared" si="3"/>
        <v>0</v>
      </c>
      <c r="N54" s="53">
        <f t="shared" si="1"/>
        <v>0</v>
      </c>
    </row>
    <row r="55" spans="1:15" x14ac:dyDescent="0.2">
      <c r="A55" s="25">
        <v>6580</v>
      </c>
      <c r="B55" s="25" t="s">
        <v>35</v>
      </c>
      <c r="C55" s="26"/>
      <c r="D55" s="53"/>
      <c r="E55" s="26">
        <v>3360</v>
      </c>
      <c r="F55" s="53">
        <v>5000</v>
      </c>
      <c r="G55" s="26">
        <v>32843.19</v>
      </c>
      <c r="H55" s="53">
        <v>40000</v>
      </c>
      <c r="I55" s="26">
        <v>3803</v>
      </c>
      <c r="J55" s="53">
        <v>27000</v>
      </c>
      <c r="K55" s="26">
        <v>7965</v>
      </c>
      <c r="L55" s="53">
        <v>5000</v>
      </c>
      <c r="M55" s="30">
        <f t="shared" si="3"/>
        <v>47971.19</v>
      </c>
      <c r="N55" s="53">
        <f t="shared" si="1"/>
        <v>77000</v>
      </c>
    </row>
    <row r="56" spans="1:15" x14ac:dyDescent="0.2">
      <c r="A56" s="25">
        <v>6600</v>
      </c>
      <c r="B56" s="25" t="s">
        <v>11</v>
      </c>
      <c r="C56" s="30">
        <v>617631.67000000004</v>
      </c>
      <c r="D56" s="54">
        <v>500000</v>
      </c>
      <c r="E56" s="30"/>
      <c r="F56" s="54"/>
      <c r="G56" s="30"/>
      <c r="H56" s="54"/>
      <c r="I56" s="30"/>
      <c r="J56" s="54"/>
      <c r="K56" s="30"/>
      <c r="L56" s="54"/>
      <c r="M56" s="30">
        <f t="shared" si="3"/>
        <v>617631.67000000004</v>
      </c>
      <c r="N56" s="53">
        <f t="shared" si="1"/>
        <v>500000</v>
      </c>
      <c r="O56" s="9" t="s">
        <v>172</v>
      </c>
    </row>
    <row r="57" spans="1:15" x14ac:dyDescent="0.2">
      <c r="A57" s="25">
        <v>6605</v>
      </c>
      <c r="B57" s="25" t="s">
        <v>42</v>
      </c>
      <c r="C57" s="30">
        <v>139027.25</v>
      </c>
      <c r="D57" s="53">
        <v>50000</v>
      </c>
      <c r="E57" s="26"/>
      <c r="F57" s="53"/>
      <c r="G57" s="26"/>
      <c r="H57" s="53"/>
      <c r="I57" s="26"/>
      <c r="J57" s="53"/>
      <c r="K57" s="26"/>
      <c r="L57" s="53"/>
      <c r="M57" s="30">
        <f t="shared" si="3"/>
        <v>139027.25</v>
      </c>
      <c r="N57" s="53">
        <f t="shared" si="1"/>
        <v>50000</v>
      </c>
      <c r="O57" s="9" t="s">
        <v>173</v>
      </c>
    </row>
    <row r="58" spans="1:15" x14ac:dyDescent="0.2">
      <c r="A58" s="25">
        <v>6620</v>
      </c>
      <c r="B58" s="25" t="s">
        <v>12</v>
      </c>
      <c r="C58" s="26">
        <v>18035.205000000002</v>
      </c>
      <c r="D58" s="53">
        <v>20000</v>
      </c>
      <c r="E58" s="26"/>
      <c r="F58" s="53"/>
      <c r="G58" s="26"/>
      <c r="H58" s="53"/>
      <c r="I58" s="26"/>
      <c r="J58" s="53"/>
      <c r="K58" s="26"/>
      <c r="L58" s="53"/>
      <c r="M58" s="30">
        <f t="shared" si="3"/>
        <v>18035.205000000002</v>
      </c>
      <c r="N58" s="53">
        <f t="shared" si="1"/>
        <v>20000</v>
      </c>
    </row>
    <row r="59" spans="1:15" x14ac:dyDescent="0.2">
      <c r="A59" s="25">
        <v>6630</v>
      </c>
      <c r="B59" s="25" t="s">
        <v>43</v>
      </c>
      <c r="C59" s="30">
        <v>92412.29</v>
      </c>
      <c r="D59" s="54">
        <v>100000</v>
      </c>
      <c r="E59" s="30"/>
      <c r="F59" s="54"/>
      <c r="G59" s="30"/>
      <c r="H59" s="54"/>
      <c r="I59" s="30"/>
      <c r="J59" s="54"/>
      <c r="K59" s="30"/>
      <c r="L59" s="54"/>
      <c r="M59" s="30">
        <f t="shared" si="3"/>
        <v>92412.29</v>
      </c>
      <c r="N59" s="53">
        <f t="shared" si="1"/>
        <v>100000</v>
      </c>
      <c r="O59" s="50"/>
    </row>
    <row r="60" spans="1:15" x14ac:dyDescent="0.2">
      <c r="A60" s="25">
        <v>6670</v>
      </c>
      <c r="B60" s="25" t="s">
        <v>38</v>
      </c>
      <c r="C60" s="26">
        <v>375280</v>
      </c>
      <c r="D60" s="53">
        <v>300000</v>
      </c>
      <c r="E60" s="26"/>
      <c r="F60" s="53"/>
      <c r="G60" s="26"/>
      <c r="H60" s="53"/>
      <c r="I60" s="26"/>
      <c r="J60" s="53"/>
      <c r="K60" s="26"/>
      <c r="L60" s="53"/>
      <c r="M60" s="30">
        <f t="shared" si="3"/>
        <v>375280</v>
      </c>
      <c r="N60" s="53">
        <f t="shared" si="1"/>
        <v>300000</v>
      </c>
      <c r="O60" s="9" t="s">
        <v>174</v>
      </c>
    </row>
    <row r="61" spans="1:15" x14ac:dyDescent="0.2">
      <c r="A61" s="25">
        <v>6740</v>
      </c>
      <c r="B61" s="25" t="s">
        <v>96</v>
      </c>
      <c r="C61" s="56"/>
      <c r="D61" s="53"/>
      <c r="E61" s="26"/>
      <c r="F61" s="53"/>
      <c r="G61" s="26">
        <v>71261.72</v>
      </c>
      <c r="H61" s="53">
        <v>70000</v>
      </c>
      <c r="I61" s="26">
        <v>53113.75</v>
      </c>
      <c r="J61" s="53">
        <v>70000</v>
      </c>
      <c r="K61" s="26"/>
      <c r="L61" s="53"/>
      <c r="M61" s="30">
        <f t="shared" si="3"/>
        <v>124375.47</v>
      </c>
      <c r="N61" s="53">
        <f t="shared" si="1"/>
        <v>140000</v>
      </c>
    </row>
    <row r="62" spans="1:15" x14ac:dyDescent="0.2">
      <c r="A62" s="25">
        <v>6790</v>
      </c>
      <c r="B62" s="25" t="s">
        <v>145</v>
      </c>
      <c r="C62" s="26">
        <v>22500</v>
      </c>
      <c r="D62" s="53"/>
      <c r="E62" s="26"/>
      <c r="F62" s="53">
        <v>5000</v>
      </c>
      <c r="G62" s="26"/>
      <c r="H62" s="53"/>
      <c r="I62" s="26"/>
      <c r="J62" s="53"/>
      <c r="K62" s="26"/>
      <c r="L62" s="53"/>
      <c r="M62" s="30">
        <f t="shared" si="3"/>
        <v>22500</v>
      </c>
      <c r="N62" s="53">
        <f t="shared" si="1"/>
        <v>5000</v>
      </c>
      <c r="O62" s="49" t="s">
        <v>158</v>
      </c>
    </row>
    <row r="63" spans="1:15" x14ac:dyDescent="0.2">
      <c r="A63" s="25">
        <v>6800</v>
      </c>
      <c r="B63" s="25" t="s">
        <v>13</v>
      </c>
      <c r="C63" s="26">
        <v>2336.2199999999998</v>
      </c>
      <c r="D63" s="53">
        <v>2000</v>
      </c>
      <c r="E63" s="26"/>
      <c r="F63" s="53"/>
      <c r="G63" s="26"/>
      <c r="H63" s="53"/>
      <c r="I63" s="26"/>
      <c r="J63" s="53"/>
      <c r="K63" s="26"/>
      <c r="L63" s="53"/>
      <c r="M63" s="30">
        <f t="shared" si="3"/>
        <v>2336.2199999999998</v>
      </c>
      <c r="N63" s="53">
        <f t="shared" si="1"/>
        <v>2000</v>
      </c>
    </row>
    <row r="64" spans="1:15" x14ac:dyDescent="0.2">
      <c r="A64" s="25">
        <v>6810</v>
      </c>
      <c r="B64" s="25" t="s">
        <v>14</v>
      </c>
      <c r="C64" s="30">
        <v>34963.199999999997</v>
      </c>
      <c r="D64" s="54">
        <v>35000</v>
      </c>
      <c r="E64" s="30"/>
      <c r="F64" s="54"/>
      <c r="G64" s="30"/>
      <c r="H64" s="54"/>
      <c r="I64" s="30"/>
      <c r="J64" s="54"/>
      <c r="K64" s="30"/>
      <c r="L64" s="54"/>
      <c r="M64" s="30">
        <f t="shared" si="3"/>
        <v>34963.199999999997</v>
      </c>
      <c r="N64" s="53">
        <f t="shared" si="1"/>
        <v>35000</v>
      </c>
      <c r="O64" s="9" t="s">
        <v>175</v>
      </c>
    </row>
    <row r="65" spans="1:16" x14ac:dyDescent="0.2">
      <c r="A65" s="25">
        <v>6815</v>
      </c>
      <c r="B65" s="25" t="s">
        <v>89</v>
      </c>
      <c r="C65" s="26">
        <v>22165</v>
      </c>
      <c r="D65" s="53">
        <v>15000</v>
      </c>
      <c r="E65" s="26"/>
      <c r="F65" s="53"/>
      <c r="G65" s="26"/>
      <c r="H65" s="53"/>
      <c r="I65" s="26"/>
      <c r="J65" s="53"/>
      <c r="K65" s="26"/>
      <c r="L65" s="53"/>
      <c r="M65" s="30">
        <f t="shared" si="3"/>
        <v>22165</v>
      </c>
      <c r="N65" s="53">
        <f t="shared" si="1"/>
        <v>15000</v>
      </c>
    </row>
    <row r="66" spans="1:16" x14ac:dyDescent="0.2">
      <c r="A66" s="25">
        <v>6820</v>
      </c>
      <c r="B66" s="25" t="s">
        <v>146</v>
      </c>
      <c r="C66" s="26"/>
      <c r="D66" s="53"/>
      <c r="E66" s="26"/>
      <c r="F66" s="53"/>
      <c r="G66" s="26"/>
      <c r="H66" s="53"/>
      <c r="I66" s="30">
        <v>1237.5</v>
      </c>
      <c r="J66" s="53"/>
      <c r="K66" s="26"/>
      <c r="L66" s="53"/>
      <c r="M66" s="30">
        <f t="shared" si="3"/>
        <v>1237.5</v>
      </c>
      <c r="N66" s="53">
        <f t="shared" si="1"/>
        <v>0</v>
      </c>
      <c r="O66" s="9" t="s">
        <v>176</v>
      </c>
    </row>
    <row r="67" spans="1:16" x14ac:dyDescent="0.2">
      <c r="A67" s="25">
        <v>6860</v>
      </c>
      <c r="B67" s="25" t="s">
        <v>15</v>
      </c>
      <c r="C67" s="30">
        <f>7025.59-I67-G67</f>
        <v>5509</v>
      </c>
      <c r="D67" s="54">
        <v>10000</v>
      </c>
      <c r="E67" s="30"/>
      <c r="F67" s="54"/>
      <c r="G67" s="30"/>
      <c r="H67" s="54">
        <v>7500</v>
      </c>
      <c r="I67" s="30">
        <v>1516.59</v>
      </c>
      <c r="J67" s="54">
        <v>4000</v>
      </c>
      <c r="K67" s="30"/>
      <c r="L67" s="54"/>
      <c r="M67" s="30">
        <f t="shared" si="3"/>
        <v>7025.59</v>
      </c>
      <c r="N67" s="53">
        <f t="shared" si="1"/>
        <v>21500</v>
      </c>
    </row>
    <row r="68" spans="1:16" x14ac:dyDescent="0.2">
      <c r="A68" s="25">
        <v>6900</v>
      </c>
      <c r="B68" s="25" t="s">
        <v>28</v>
      </c>
      <c r="C68" s="30">
        <v>37915.32</v>
      </c>
      <c r="D68" s="53">
        <v>30000</v>
      </c>
      <c r="E68" s="26"/>
      <c r="F68" s="53"/>
      <c r="G68" s="26"/>
      <c r="H68" s="53"/>
      <c r="I68" s="26"/>
      <c r="J68" s="53"/>
      <c r="K68" s="26"/>
      <c r="L68" s="53"/>
      <c r="M68" s="30">
        <f t="shared" si="3"/>
        <v>37915.32</v>
      </c>
      <c r="N68" s="53">
        <f t="shared" si="1"/>
        <v>30000</v>
      </c>
    </row>
    <row r="69" spans="1:16" x14ac:dyDescent="0.2">
      <c r="A69" s="25">
        <v>6940</v>
      </c>
      <c r="B69" s="25" t="s">
        <v>16</v>
      </c>
      <c r="C69" s="26">
        <v>2852</v>
      </c>
      <c r="D69" s="53">
        <v>2500</v>
      </c>
      <c r="E69" s="26"/>
      <c r="F69" s="53"/>
      <c r="G69" s="26"/>
      <c r="H69" s="53"/>
      <c r="I69" s="26"/>
      <c r="J69" s="53"/>
      <c r="K69" s="26"/>
      <c r="L69" s="53"/>
      <c r="M69" s="30">
        <f t="shared" si="3"/>
        <v>2852</v>
      </c>
      <c r="N69" s="53">
        <f t="shared" si="1"/>
        <v>2500</v>
      </c>
    </row>
    <row r="70" spans="1:16" x14ac:dyDescent="0.2">
      <c r="A70" s="25">
        <v>7140</v>
      </c>
      <c r="B70" s="25" t="s">
        <v>44</v>
      </c>
      <c r="C70" s="26"/>
      <c r="D70" s="53"/>
      <c r="E70" s="26"/>
      <c r="F70" s="53"/>
      <c r="G70" s="26">
        <v>1596</v>
      </c>
      <c r="H70" s="53"/>
      <c r="I70" s="24">
        <v>645</v>
      </c>
      <c r="J70" s="53"/>
      <c r="K70" s="26"/>
      <c r="L70" s="53"/>
      <c r="M70" s="30">
        <f>SUM(C70+E70+G70+I70+K70)</f>
        <v>2241</v>
      </c>
      <c r="N70" s="53">
        <f t="shared" ref="N70:N88" si="4">D70+F70+H70+J70+L70</f>
        <v>0</v>
      </c>
      <c r="O70" s="9" t="s">
        <v>153</v>
      </c>
    </row>
    <row r="71" spans="1:16" x14ac:dyDescent="0.2">
      <c r="A71" s="25">
        <v>7141</v>
      </c>
      <c r="B71" s="25" t="s">
        <v>104</v>
      </c>
      <c r="C71" s="26"/>
      <c r="D71" s="53"/>
      <c r="E71" s="26"/>
      <c r="F71" s="53"/>
      <c r="G71" s="26">
        <v>21000</v>
      </c>
      <c r="H71" s="53">
        <v>25000</v>
      </c>
      <c r="I71" s="26">
        <v>34458.1</v>
      </c>
      <c r="J71" s="53">
        <v>20000</v>
      </c>
      <c r="K71" s="26"/>
      <c r="L71" s="53"/>
      <c r="M71" s="30">
        <f>SUM(C71+E71+G71+I71+K71)</f>
        <v>55458.1</v>
      </c>
      <c r="N71" s="53">
        <f t="shared" si="4"/>
        <v>45000</v>
      </c>
      <c r="O71" s="49" t="s">
        <v>160</v>
      </c>
      <c r="P71" s="23"/>
    </row>
    <row r="72" spans="1:16" x14ac:dyDescent="0.2">
      <c r="A72" s="25">
        <v>7160</v>
      </c>
      <c r="B72" s="25" t="s">
        <v>17</v>
      </c>
      <c r="C72" s="30">
        <v>2089.73</v>
      </c>
      <c r="D72" s="54"/>
      <c r="E72" s="30"/>
      <c r="F72" s="54"/>
      <c r="G72" s="30">
        <v>113341.4</v>
      </c>
      <c r="H72" s="54">
        <v>130000</v>
      </c>
      <c r="I72" s="30">
        <v>68179.11</v>
      </c>
      <c r="J72" s="54"/>
      <c r="K72" s="30"/>
      <c r="L72" s="54"/>
      <c r="M72" s="30">
        <f t="shared" si="3"/>
        <v>183610.23999999999</v>
      </c>
      <c r="N72" s="53">
        <f t="shared" si="4"/>
        <v>130000</v>
      </c>
      <c r="O72" s="49" t="s">
        <v>161</v>
      </c>
    </row>
    <row r="73" spans="1:16" x14ac:dyDescent="0.2">
      <c r="A73" s="25">
        <v>7320</v>
      </c>
      <c r="B73" s="25" t="s">
        <v>45</v>
      </c>
      <c r="C73" s="26"/>
      <c r="D73" s="53">
        <v>1000</v>
      </c>
      <c r="E73" s="26"/>
      <c r="F73" s="53">
        <v>5000</v>
      </c>
      <c r="G73" s="26"/>
      <c r="H73" s="53"/>
      <c r="I73" s="26"/>
      <c r="J73" s="53"/>
      <c r="K73" s="26"/>
      <c r="L73" s="53"/>
      <c r="M73" s="30">
        <f t="shared" si="3"/>
        <v>0</v>
      </c>
      <c r="N73" s="53">
        <f t="shared" si="4"/>
        <v>6000</v>
      </c>
    </row>
    <row r="74" spans="1:16" x14ac:dyDescent="0.2">
      <c r="A74" s="25">
        <v>7350</v>
      </c>
      <c r="B74" s="25" t="s">
        <v>137</v>
      </c>
      <c r="C74" s="26">
        <v>900</v>
      </c>
      <c r="D74" s="53"/>
      <c r="E74" s="26"/>
      <c r="F74" s="53"/>
      <c r="G74" s="26"/>
      <c r="H74" s="53"/>
      <c r="I74" s="26"/>
      <c r="J74" s="53"/>
      <c r="K74" s="26"/>
      <c r="L74" s="53"/>
      <c r="M74" s="30">
        <f t="shared" si="3"/>
        <v>900</v>
      </c>
      <c r="N74" s="53">
        <f t="shared" si="4"/>
        <v>0</v>
      </c>
    </row>
    <row r="75" spans="1:16" x14ac:dyDescent="0.2">
      <c r="A75" s="25">
        <v>7410</v>
      </c>
      <c r="B75" s="25" t="s">
        <v>90</v>
      </c>
      <c r="C75" s="30">
        <f>12490-E75-G75-I75-K75</f>
        <v>0</v>
      </c>
      <c r="D75" s="54">
        <v>4500</v>
      </c>
      <c r="E75" s="30"/>
      <c r="F75" s="54"/>
      <c r="G75" s="30">
        <v>3500</v>
      </c>
      <c r="H75" s="54">
        <v>3500</v>
      </c>
      <c r="I75" s="30">
        <v>8990</v>
      </c>
      <c r="J75" s="54">
        <v>9000</v>
      </c>
      <c r="K75" s="30"/>
      <c r="L75" s="54">
        <v>2000</v>
      </c>
      <c r="M75" s="30">
        <f t="shared" si="3"/>
        <v>12490</v>
      </c>
      <c r="N75" s="53">
        <f t="shared" si="4"/>
        <v>19000</v>
      </c>
    </row>
    <row r="76" spans="1:16" s="48" customFormat="1" x14ac:dyDescent="0.2">
      <c r="A76" s="46">
        <v>7411</v>
      </c>
      <c r="B76" s="46" t="s">
        <v>97</v>
      </c>
      <c r="C76" s="47"/>
      <c r="D76" s="53"/>
      <c r="E76" s="47"/>
      <c r="F76" s="53"/>
      <c r="G76" s="47">
        <v>80750</v>
      </c>
      <c r="H76" s="53">
        <v>75000</v>
      </c>
      <c r="I76" s="47">
        <v>32500</v>
      </c>
      <c r="J76" s="53">
        <v>35000</v>
      </c>
      <c r="K76" s="47"/>
      <c r="L76" s="53"/>
      <c r="M76" s="30">
        <f t="shared" si="3"/>
        <v>113250</v>
      </c>
      <c r="N76" s="53">
        <f t="shared" si="4"/>
        <v>110000</v>
      </c>
      <c r="O76" s="50"/>
    </row>
    <row r="77" spans="1:16" x14ac:dyDescent="0.2">
      <c r="A77" s="25">
        <v>7412</v>
      </c>
      <c r="B77" s="25" t="s">
        <v>98</v>
      </c>
      <c r="C77" s="26"/>
      <c r="D77" s="53"/>
      <c r="E77" s="26"/>
      <c r="F77" s="53"/>
      <c r="G77" s="30">
        <v>-19120</v>
      </c>
      <c r="H77" s="53">
        <v>20000</v>
      </c>
      <c r="I77" s="30">
        <v>21300</v>
      </c>
      <c r="J77" s="53">
        <v>10000</v>
      </c>
      <c r="K77" s="26"/>
      <c r="L77" s="53"/>
      <c r="M77" s="30">
        <f t="shared" si="3"/>
        <v>2180</v>
      </c>
      <c r="N77" s="53">
        <f t="shared" si="4"/>
        <v>30000</v>
      </c>
      <c r="O77" s="9" t="s">
        <v>177</v>
      </c>
    </row>
    <row r="78" spans="1:16" x14ac:dyDescent="0.2">
      <c r="A78" s="25">
        <v>7413</v>
      </c>
      <c r="B78" s="25" t="s">
        <v>130</v>
      </c>
      <c r="C78" s="26"/>
      <c r="D78" s="53"/>
      <c r="E78" s="26"/>
      <c r="F78" s="53"/>
      <c r="G78" s="30">
        <v>5750</v>
      </c>
      <c r="H78" s="53"/>
      <c r="I78" s="56"/>
      <c r="J78" s="53"/>
      <c r="K78" s="26"/>
      <c r="L78" s="53"/>
      <c r="M78" s="30">
        <f t="shared" si="3"/>
        <v>5750</v>
      </c>
      <c r="N78" s="53">
        <f t="shared" si="4"/>
        <v>0</v>
      </c>
    </row>
    <row r="79" spans="1:16" x14ac:dyDescent="0.2">
      <c r="A79" s="25">
        <v>7415</v>
      </c>
      <c r="B79" s="25" t="s">
        <v>91</v>
      </c>
      <c r="C79" s="26"/>
      <c r="D79" s="53"/>
      <c r="E79" s="26">
        <v>1000</v>
      </c>
      <c r="F79" s="53">
        <v>5000</v>
      </c>
      <c r="G79" s="26">
        <v>25000</v>
      </c>
      <c r="H79" s="53">
        <v>22000</v>
      </c>
      <c r="I79" s="26">
        <v>10019</v>
      </c>
      <c r="J79" s="53">
        <v>30000</v>
      </c>
      <c r="K79" s="26">
        <v>1200</v>
      </c>
      <c r="L79" s="53">
        <v>3000</v>
      </c>
      <c r="M79" s="30">
        <f t="shared" si="3"/>
        <v>37219</v>
      </c>
      <c r="N79" s="53">
        <f t="shared" si="4"/>
        <v>60000</v>
      </c>
    </row>
    <row r="80" spans="1:16" x14ac:dyDescent="0.2">
      <c r="A80" s="25">
        <v>7420</v>
      </c>
      <c r="B80" s="25" t="s">
        <v>99</v>
      </c>
      <c r="C80" s="26">
        <f>2190-G80</f>
        <v>720</v>
      </c>
      <c r="D80" s="53">
        <v>3000</v>
      </c>
      <c r="E80" s="26">
        <v>1056</v>
      </c>
      <c r="F80" s="53"/>
      <c r="G80" s="26">
        <v>1470</v>
      </c>
      <c r="H80" s="53"/>
      <c r="I80" s="26"/>
      <c r="J80" s="53">
        <v>7000</v>
      </c>
      <c r="K80" s="26"/>
      <c r="L80" s="53"/>
      <c r="M80" s="30">
        <f t="shared" si="3"/>
        <v>3246</v>
      </c>
      <c r="N80" s="53">
        <f t="shared" si="4"/>
        <v>10000</v>
      </c>
      <c r="O80" s="9" t="s">
        <v>159</v>
      </c>
    </row>
    <row r="81" spans="1:16" x14ac:dyDescent="0.2">
      <c r="A81" s="25">
        <v>7425</v>
      </c>
      <c r="B81" s="25" t="s">
        <v>100</v>
      </c>
      <c r="C81" s="26"/>
      <c r="D81" s="53">
        <v>5000</v>
      </c>
      <c r="E81" s="26"/>
      <c r="F81" s="53"/>
      <c r="G81" s="26"/>
      <c r="H81" s="53"/>
      <c r="I81" s="26">
        <v>3792.5</v>
      </c>
      <c r="J81" s="53">
        <v>1000</v>
      </c>
      <c r="K81" s="26"/>
      <c r="L81" s="53"/>
      <c r="M81" s="30">
        <f t="shared" si="3"/>
        <v>3792.5</v>
      </c>
      <c r="N81" s="53">
        <f t="shared" si="4"/>
        <v>6000</v>
      </c>
      <c r="O81" s="49"/>
    </row>
    <row r="82" spans="1:16" x14ac:dyDescent="0.2">
      <c r="A82" s="25">
        <v>7430</v>
      </c>
      <c r="B82" s="25" t="s">
        <v>46</v>
      </c>
      <c r="C82" s="47"/>
      <c r="D82" s="53">
        <v>5000</v>
      </c>
      <c r="E82" s="47">
        <v>3675.8</v>
      </c>
      <c r="F82" s="53">
        <v>5000</v>
      </c>
      <c r="G82" s="51"/>
      <c r="H82" s="53">
        <v>7500</v>
      </c>
      <c r="I82" s="47"/>
      <c r="J82" s="53"/>
      <c r="K82" s="47"/>
      <c r="L82" s="53"/>
      <c r="M82" s="30">
        <f t="shared" si="3"/>
        <v>3675.8</v>
      </c>
      <c r="N82" s="53">
        <f t="shared" si="4"/>
        <v>17500</v>
      </c>
    </row>
    <row r="83" spans="1:16" x14ac:dyDescent="0.2">
      <c r="A83" s="25">
        <v>7431</v>
      </c>
      <c r="B83" s="25" t="s">
        <v>47</v>
      </c>
      <c r="C83" s="51">
        <v>2034</v>
      </c>
      <c r="D83" s="53"/>
      <c r="E83" s="47">
        <v>284.89999999999998</v>
      </c>
      <c r="F83" s="53"/>
      <c r="G83" s="47">
        <v>2975.43</v>
      </c>
      <c r="H83" s="53">
        <v>10000</v>
      </c>
      <c r="I83" s="51">
        <v>19002.02</v>
      </c>
      <c r="J83" s="53">
        <v>15000</v>
      </c>
      <c r="K83" s="47"/>
      <c r="L83" s="53"/>
      <c r="M83" s="30">
        <f t="shared" si="3"/>
        <v>24296.35</v>
      </c>
      <c r="N83" s="53">
        <f t="shared" si="4"/>
        <v>25000</v>
      </c>
      <c r="O83" s="49"/>
    </row>
    <row r="84" spans="1:16" hidden="1" x14ac:dyDescent="0.2">
      <c r="A84" s="25">
        <v>7450</v>
      </c>
      <c r="B84" s="25" t="s">
        <v>121</v>
      </c>
      <c r="C84" s="26"/>
      <c r="D84" s="53"/>
      <c r="E84" s="26"/>
      <c r="F84" s="53"/>
      <c r="G84" s="26"/>
      <c r="H84" s="53"/>
      <c r="I84" s="26"/>
      <c r="J84" s="53"/>
      <c r="K84" s="26"/>
      <c r="L84" s="53"/>
      <c r="M84" s="30">
        <f t="shared" si="3"/>
        <v>0</v>
      </c>
      <c r="N84" s="53">
        <f t="shared" si="4"/>
        <v>0</v>
      </c>
    </row>
    <row r="85" spans="1:16" x14ac:dyDescent="0.2">
      <c r="A85" s="25">
        <v>7451</v>
      </c>
      <c r="B85" s="25" t="s">
        <v>92</v>
      </c>
      <c r="C85" s="30">
        <v>8048.7</v>
      </c>
      <c r="D85" s="54"/>
      <c r="E85" s="30"/>
      <c r="F85" s="54"/>
      <c r="G85" s="30">
        <v>5000</v>
      </c>
      <c r="H85" s="54">
        <v>10000</v>
      </c>
      <c r="I85" s="30"/>
      <c r="J85" s="54"/>
      <c r="K85" s="30"/>
      <c r="L85" s="54"/>
      <c r="M85" s="30">
        <f t="shared" si="3"/>
        <v>13048.7</v>
      </c>
      <c r="N85" s="53">
        <f t="shared" si="4"/>
        <v>10000</v>
      </c>
      <c r="O85" s="9" t="s">
        <v>162</v>
      </c>
    </row>
    <row r="86" spans="1:16" x14ac:dyDescent="0.2">
      <c r="A86" s="25">
        <v>7480</v>
      </c>
      <c r="B86" s="25" t="s">
        <v>81</v>
      </c>
      <c r="C86" s="26"/>
      <c r="D86" s="53"/>
      <c r="E86" s="26"/>
      <c r="F86" s="53"/>
      <c r="G86" s="26"/>
      <c r="H86" s="53"/>
      <c r="I86" s="26">
        <v>14800</v>
      </c>
      <c r="J86" s="53">
        <v>5000</v>
      </c>
      <c r="K86" s="26"/>
      <c r="L86" s="53"/>
      <c r="M86" s="30">
        <f t="shared" si="3"/>
        <v>14800</v>
      </c>
      <c r="N86" s="53">
        <f t="shared" si="4"/>
        <v>5000</v>
      </c>
    </row>
    <row r="87" spans="1:16" x14ac:dyDescent="0.2">
      <c r="A87" s="25">
        <v>7500</v>
      </c>
      <c r="B87" s="25" t="s">
        <v>18</v>
      </c>
      <c r="C87" s="26">
        <v>82594</v>
      </c>
      <c r="D87" s="53">
        <v>82000</v>
      </c>
      <c r="E87" s="26"/>
      <c r="F87" s="53"/>
      <c r="G87" s="26"/>
      <c r="H87" s="53"/>
      <c r="I87" s="26"/>
      <c r="J87" s="53"/>
      <c r="K87" s="26"/>
      <c r="L87" s="53"/>
      <c r="M87" s="30">
        <f t="shared" si="3"/>
        <v>82594</v>
      </c>
      <c r="N87" s="53">
        <f t="shared" si="4"/>
        <v>82000</v>
      </c>
    </row>
    <row r="88" spans="1:16" x14ac:dyDescent="0.2">
      <c r="A88" s="25">
        <v>7510</v>
      </c>
      <c r="B88" s="25" t="s">
        <v>85</v>
      </c>
      <c r="C88" s="26"/>
      <c r="D88" s="53"/>
      <c r="E88" s="26"/>
      <c r="F88" s="53"/>
      <c r="G88" s="26"/>
      <c r="H88" s="53"/>
      <c r="I88" s="26">
        <v>19300</v>
      </c>
      <c r="J88" s="53">
        <v>20000</v>
      </c>
      <c r="K88" s="26"/>
      <c r="L88" s="53"/>
      <c r="M88" s="30">
        <f t="shared" si="3"/>
        <v>19300</v>
      </c>
      <c r="N88" s="53">
        <f t="shared" si="4"/>
        <v>20000</v>
      </c>
    </row>
    <row r="89" spans="1:16" s="9" customFormat="1" x14ac:dyDescent="0.2">
      <c r="A89" s="27"/>
      <c r="B89" s="27" t="s">
        <v>24</v>
      </c>
      <c r="C89" s="28">
        <f t="shared" ref="C89:L89" si="5">SUM(C30:C88)</f>
        <v>2212820.7650000001</v>
      </c>
      <c r="D89" s="55">
        <f t="shared" si="5"/>
        <v>1985800</v>
      </c>
      <c r="E89" s="28">
        <f t="shared" si="5"/>
        <v>166163.47999999998</v>
      </c>
      <c r="F89" s="55">
        <f t="shared" si="5"/>
        <v>25000</v>
      </c>
      <c r="G89" s="28">
        <f t="shared" si="5"/>
        <v>1125512.0900000001</v>
      </c>
      <c r="H89" s="55">
        <f t="shared" si="5"/>
        <v>1237500</v>
      </c>
      <c r="I89" s="28">
        <f t="shared" si="5"/>
        <v>557047.07000000007</v>
      </c>
      <c r="J89" s="55">
        <f t="shared" si="5"/>
        <v>500500</v>
      </c>
      <c r="K89" s="28">
        <f t="shared" si="5"/>
        <v>9165</v>
      </c>
      <c r="L89" s="55">
        <f t="shared" si="5"/>
        <v>10000</v>
      </c>
      <c r="M89" s="28">
        <f>C89+E89+G89+I89+K89</f>
        <v>4070708.4050000003</v>
      </c>
      <c r="N89" s="55">
        <f>D89+F89+H89+J89+L89</f>
        <v>3758800</v>
      </c>
      <c r="P89" s="1"/>
    </row>
    <row r="90" spans="1:16" x14ac:dyDescent="0.2">
      <c r="A90" s="25">
        <v>8050</v>
      </c>
      <c r="B90" s="25" t="s">
        <v>19</v>
      </c>
      <c r="C90" s="26">
        <f>-4730.3-E90-G90-I90-K90</f>
        <v>-4594.17</v>
      </c>
      <c r="D90" s="53">
        <v>-4000</v>
      </c>
      <c r="E90" s="26"/>
      <c r="F90" s="53"/>
      <c r="G90" s="26">
        <v>-67.34</v>
      </c>
      <c r="H90" s="53"/>
      <c r="I90" s="26">
        <v>-68.790000000000006</v>
      </c>
      <c r="J90" s="53"/>
      <c r="K90" s="26"/>
      <c r="L90" s="53"/>
      <c r="M90" s="30">
        <f t="shared" si="3"/>
        <v>-4730.3</v>
      </c>
      <c r="N90" s="53"/>
      <c r="P90" s="2"/>
    </row>
    <row r="91" spans="1:16" x14ac:dyDescent="0.2">
      <c r="A91" s="25">
        <v>8140</v>
      </c>
      <c r="B91" s="25" t="s">
        <v>20</v>
      </c>
      <c r="C91" s="26">
        <v>120126.11</v>
      </c>
      <c r="D91" s="53">
        <v>100000</v>
      </c>
      <c r="E91" s="26"/>
      <c r="F91" s="53"/>
      <c r="G91" s="26"/>
      <c r="H91" s="53"/>
      <c r="I91" s="26"/>
      <c r="J91" s="53"/>
      <c r="K91" s="26"/>
      <c r="L91" s="53"/>
      <c r="M91" s="30">
        <f t="shared" si="3"/>
        <v>120126.11</v>
      </c>
      <c r="N91" s="53"/>
      <c r="P91" s="2"/>
    </row>
    <row r="92" spans="1:16" x14ac:dyDescent="0.2">
      <c r="A92" s="25">
        <v>8150</v>
      </c>
      <c r="B92" s="25" t="s">
        <v>133</v>
      </c>
      <c r="C92" s="26">
        <f>3275.86-E92-G92-I92-K92</f>
        <v>469.79000000000019</v>
      </c>
      <c r="D92" s="53"/>
      <c r="E92" s="26"/>
      <c r="F92" s="53"/>
      <c r="G92" s="26">
        <v>1650.8</v>
      </c>
      <c r="H92" s="53"/>
      <c r="I92" s="26">
        <v>1139.51</v>
      </c>
      <c r="J92" s="53"/>
      <c r="K92" s="26">
        <v>15.76</v>
      </c>
      <c r="L92" s="53"/>
      <c r="M92" s="30">
        <f t="shared" si="3"/>
        <v>3275.8600000000006</v>
      </c>
      <c r="N92" s="53"/>
      <c r="P92" s="2"/>
    </row>
    <row r="93" spans="1:16" x14ac:dyDescent="0.2">
      <c r="A93" s="25">
        <v>8160</v>
      </c>
      <c r="B93" s="25" t="s">
        <v>93</v>
      </c>
      <c r="C93" s="26"/>
      <c r="D93" s="53"/>
      <c r="E93" s="26"/>
      <c r="F93" s="53"/>
      <c r="G93" s="26"/>
      <c r="H93" s="53"/>
      <c r="I93" s="26"/>
      <c r="J93" s="53"/>
      <c r="K93" s="26"/>
      <c r="L93" s="53"/>
      <c r="M93" s="30">
        <f t="shared" si="3"/>
        <v>0</v>
      </c>
      <c r="N93" s="53"/>
      <c r="P93" s="2"/>
    </row>
    <row r="94" spans="1:16" x14ac:dyDescent="0.2">
      <c r="A94" s="25">
        <v>8170</v>
      </c>
      <c r="B94" s="25" t="s">
        <v>21</v>
      </c>
      <c r="C94" s="51">
        <f>6579.87-G94-I94</f>
        <v>5409.68</v>
      </c>
      <c r="D94" s="54">
        <v>5000</v>
      </c>
      <c r="E94" s="51"/>
      <c r="F94" s="54"/>
      <c r="G94" s="51">
        <v>493.5</v>
      </c>
      <c r="H94" s="54"/>
      <c r="I94" s="51">
        <v>676.69</v>
      </c>
      <c r="J94" s="54"/>
      <c r="K94" s="51"/>
      <c r="L94" s="54"/>
      <c r="M94" s="30">
        <f t="shared" si="3"/>
        <v>6579.8700000000008</v>
      </c>
      <c r="N94" s="54"/>
      <c r="P94" s="2"/>
    </row>
    <row r="95" spans="1:16" s="9" customFormat="1" x14ac:dyDescent="0.2">
      <c r="A95" s="27"/>
      <c r="B95" s="27" t="s">
        <v>27</v>
      </c>
      <c r="C95" s="28">
        <f t="shared" ref="C95:M95" si="6">C29+C89+C90+C91+C92+C93+C94</f>
        <v>173269.18499999991</v>
      </c>
      <c r="D95" s="55">
        <f t="shared" si="6"/>
        <v>-10200</v>
      </c>
      <c r="E95" s="28">
        <f t="shared" si="6"/>
        <v>-60753.020000000019</v>
      </c>
      <c r="F95" s="55">
        <f t="shared" si="6"/>
        <v>0</v>
      </c>
      <c r="G95" s="28">
        <f t="shared" si="6"/>
        <v>-200815.24999999997</v>
      </c>
      <c r="H95" s="55">
        <f t="shared" si="6"/>
        <v>-12500</v>
      </c>
      <c r="I95" s="28">
        <f t="shared" si="6"/>
        <v>-13315.119999999912</v>
      </c>
      <c r="J95" s="55">
        <f t="shared" si="6"/>
        <v>-3500</v>
      </c>
      <c r="K95" s="28">
        <f t="shared" si="6"/>
        <v>1380.76</v>
      </c>
      <c r="L95" s="55">
        <f t="shared" si="6"/>
        <v>-3000</v>
      </c>
      <c r="M95" s="28">
        <f t="shared" si="6"/>
        <v>-100233.4449999994</v>
      </c>
      <c r="N95" s="55">
        <f>D95+F95+H95+J95+L95</f>
        <v>-29200</v>
      </c>
      <c r="P95" s="45"/>
    </row>
    <row r="97" spans="9:14" x14ac:dyDescent="0.2">
      <c r="M97" s="57"/>
      <c r="N97" s="57"/>
    </row>
    <row r="98" spans="9:14" x14ac:dyDescent="0.2">
      <c r="M98" s="57"/>
      <c r="N98" s="57"/>
    </row>
    <row r="99" spans="9:14" x14ac:dyDescent="0.2">
      <c r="M99" s="57"/>
      <c r="N99" s="57"/>
    </row>
    <row r="100" spans="9:14" x14ac:dyDescent="0.2">
      <c r="M100" s="57"/>
      <c r="N100" s="57"/>
    </row>
    <row r="101" spans="9:14" x14ac:dyDescent="0.2">
      <c r="I101" s="24">
        <v>6</v>
      </c>
    </row>
  </sheetData>
  <pageMargins left="0" right="0" top="0" bottom="0" header="0" footer="0"/>
  <pageSetup paperSize="9" scale="71" orientation="portrait" r:id="rId1"/>
  <ignoredErrors>
    <ignoredError sqref="M29:N29 M8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54"/>
  <sheetViews>
    <sheetView topLeftCell="A37" zoomScale="120" zoomScaleNormal="120" workbookViewId="0">
      <selection activeCell="F14" sqref="F14"/>
    </sheetView>
  </sheetViews>
  <sheetFormatPr baseColWidth="10" defaultColWidth="9.140625" defaultRowHeight="12" x14ac:dyDescent="0.2"/>
  <cols>
    <col min="1" max="1" width="7" style="2" customWidth="1"/>
    <col min="2" max="2" width="36.42578125" style="2" bestFit="1" customWidth="1"/>
    <col min="3" max="3" width="12.28515625" style="3" bestFit="1" customWidth="1"/>
    <col min="4" max="16384" width="9.140625" style="2"/>
  </cols>
  <sheetData>
    <row r="1" spans="1:4" ht="12.75" thickBot="1" x14ac:dyDescent="0.25"/>
    <row r="2" spans="1:4" x14ac:dyDescent="0.2">
      <c r="A2" s="4"/>
      <c r="B2" s="5"/>
      <c r="C2" s="19"/>
    </row>
    <row r="3" spans="1:4" s="7" customFormat="1" x14ac:dyDescent="0.2">
      <c r="A3" s="6"/>
      <c r="C3" s="20"/>
    </row>
    <row r="4" spans="1:4" s="14" customFormat="1" ht="15.75" x14ac:dyDescent="0.25">
      <c r="A4" s="13"/>
      <c r="B4" s="14" t="s">
        <v>119</v>
      </c>
      <c r="C4" s="58">
        <v>43830</v>
      </c>
    </row>
    <row r="5" spans="1:4" s="12" customFormat="1" ht="15.75" x14ac:dyDescent="0.25">
      <c r="A5" s="13"/>
      <c r="B5" s="14" t="s">
        <v>48</v>
      </c>
      <c r="C5" s="21"/>
      <c r="D5" s="14"/>
    </row>
    <row r="6" spans="1:4" s="12" customFormat="1" ht="15.75" x14ac:dyDescent="0.25">
      <c r="A6" s="13"/>
      <c r="B6" s="14"/>
      <c r="C6" s="21"/>
      <c r="D6" s="14"/>
    </row>
    <row r="7" spans="1:4" s="12" customFormat="1" ht="15.75" x14ac:dyDescent="0.25">
      <c r="A7" s="36"/>
      <c r="B7" s="27" t="s">
        <v>55</v>
      </c>
      <c r="C7" s="37" t="s">
        <v>151</v>
      </c>
    </row>
    <row r="8" spans="1:4" s="15" customFormat="1" ht="12.75" x14ac:dyDescent="0.2">
      <c r="A8" s="38">
        <v>1100</v>
      </c>
      <c r="B8" s="25" t="s">
        <v>106</v>
      </c>
      <c r="C8" s="39">
        <v>746425.36</v>
      </c>
    </row>
    <row r="9" spans="1:4" s="15" customFormat="1" ht="12.75" x14ac:dyDescent="0.2">
      <c r="A9" s="38">
        <v>1115</v>
      </c>
      <c r="B9" s="25" t="s">
        <v>125</v>
      </c>
      <c r="C9" s="39">
        <v>1993250.36</v>
      </c>
    </row>
    <row r="10" spans="1:4" s="9" customFormat="1" ht="12.75" x14ac:dyDescent="0.2">
      <c r="A10" s="40"/>
      <c r="B10" s="27" t="s">
        <v>50</v>
      </c>
      <c r="C10" s="41">
        <f>SUM(C8:C9)</f>
        <v>2739675.72</v>
      </c>
    </row>
    <row r="11" spans="1:4" s="15" customFormat="1" ht="12.75" x14ac:dyDescent="0.2">
      <c r="A11" s="38">
        <v>1390</v>
      </c>
      <c r="B11" s="25" t="s">
        <v>101</v>
      </c>
      <c r="C11" s="39">
        <v>0</v>
      </c>
    </row>
    <row r="12" spans="1:4" s="15" customFormat="1" ht="12.75" x14ac:dyDescent="0.2">
      <c r="A12" s="38">
        <v>1399</v>
      </c>
      <c r="B12" s="25" t="s">
        <v>94</v>
      </c>
      <c r="C12" s="39">
        <v>0</v>
      </c>
    </row>
    <row r="13" spans="1:4" s="9" customFormat="1" ht="12.75" x14ac:dyDescent="0.2">
      <c r="A13" s="40"/>
      <c r="B13" s="27" t="s">
        <v>51</v>
      </c>
      <c r="C13" s="41">
        <f>SUM(C11:C12)</f>
        <v>0</v>
      </c>
    </row>
    <row r="14" spans="1:4" s="15" customFormat="1" ht="12.75" x14ac:dyDescent="0.2">
      <c r="A14" s="38">
        <v>1510</v>
      </c>
      <c r="B14" s="25" t="s">
        <v>49</v>
      </c>
      <c r="C14" s="63">
        <v>19050</v>
      </c>
    </row>
    <row r="15" spans="1:4" s="9" customFormat="1" ht="12.75" x14ac:dyDescent="0.2">
      <c r="A15" s="40"/>
      <c r="B15" s="27" t="s">
        <v>52</v>
      </c>
      <c r="C15" s="41">
        <f>SUM(C14)</f>
        <v>19050</v>
      </c>
    </row>
    <row r="16" spans="1:4" s="15" customFormat="1" ht="12.75" x14ac:dyDescent="0.2">
      <c r="A16" s="38">
        <v>1910</v>
      </c>
      <c r="B16" s="25" t="s">
        <v>86</v>
      </c>
      <c r="C16" s="39">
        <v>2500</v>
      </c>
    </row>
    <row r="17" spans="1:3" s="15" customFormat="1" ht="12.75" x14ac:dyDescent="0.2">
      <c r="A17" s="38">
        <v>1920</v>
      </c>
      <c r="B17" s="25" t="s">
        <v>109</v>
      </c>
      <c r="C17" s="39">
        <v>1953273.7</v>
      </c>
    </row>
    <row r="18" spans="1:3" s="15" customFormat="1" ht="12.75" x14ac:dyDescent="0.2">
      <c r="A18" s="38">
        <v>1921</v>
      </c>
      <c r="B18" s="25" t="s">
        <v>108</v>
      </c>
      <c r="C18" s="39">
        <v>-88</v>
      </c>
    </row>
    <row r="19" spans="1:3" s="15" customFormat="1" ht="12.75" x14ac:dyDescent="0.2">
      <c r="A19" s="38">
        <v>1924</v>
      </c>
      <c r="B19" s="25" t="s">
        <v>110</v>
      </c>
      <c r="C19" s="39">
        <v>1321811.45</v>
      </c>
    </row>
    <row r="20" spans="1:3" s="15" customFormat="1" ht="12.75" x14ac:dyDescent="0.2">
      <c r="A20" s="38">
        <v>1925</v>
      </c>
      <c r="B20" s="25" t="s">
        <v>111</v>
      </c>
      <c r="C20" s="39">
        <v>172992.69</v>
      </c>
    </row>
    <row r="21" spans="1:3" s="15" customFormat="1" ht="12.75" x14ac:dyDescent="0.2">
      <c r="A21" s="38">
        <v>1928</v>
      </c>
      <c r="B21" s="25" t="s">
        <v>112</v>
      </c>
      <c r="C21" s="39">
        <v>409230.14</v>
      </c>
    </row>
    <row r="22" spans="1:3" s="15" customFormat="1" ht="12.75" x14ac:dyDescent="0.2">
      <c r="A22" s="38">
        <v>1929</v>
      </c>
      <c r="B22" s="25" t="s">
        <v>113</v>
      </c>
      <c r="C22" s="39">
        <v>0</v>
      </c>
    </row>
    <row r="23" spans="1:3" s="15" customFormat="1" ht="12.75" x14ac:dyDescent="0.2">
      <c r="A23" s="38">
        <v>1930</v>
      </c>
      <c r="B23" s="25" t="s">
        <v>114</v>
      </c>
      <c r="C23" s="39">
        <v>114576.61</v>
      </c>
    </row>
    <row r="24" spans="1:3" s="15" customFormat="1" ht="12.75" x14ac:dyDescent="0.2">
      <c r="A24" s="38">
        <v>1931</v>
      </c>
      <c r="B24" s="25" t="s">
        <v>115</v>
      </c>
      <c r="C24" s="39">
        <v>32186.65</v>
      </c>
    </row>
    <row r="25" spans="1:3" s="15" customFormat="1" ht="12.75" x14ac:dyDescent="0.2">
      <c r="A25" s="38">
        <v>1950</v>
      </c>
      <c r="B25" s="25" t="s">
        <v>116</v>
      </c>
      <c r="C25" s="39">
        <v>0</v>
      </c>
    </row>
    <row r="26" spans="1:3" s="9" customFormat="1" ht="12.75" x14ac:dyDescent="0.2">
      <c r="A26" s="40"/>
      <c r="B26" s="27" t="s">
        <v>53</v>
      </c>
      <c r="C26" s="41">
        <f>SUM(C16:C25)</f>
        <v>4006483.2399999998</v>
      </c>
    </row>
    <row r="27" spans="1:3" s="9" customFormat="1" ht="13.5" thickBot="1" x14ac:dyDescent="0.25">
      <c r="A27" s="10"/>
      <c r="B27" s="32" t="s">
        <v>54</v>
      </c>
      <c r="C27" s="33">
        <f>C10+C13+C15+C26</f>
        <v>6765208.96</v>
      </c>
    </row>
    <row r="28" spans="1:3" s="9" customFormat="1" ht="13.5" thickTop="1" x14ac:dyDescent="0.2">
      <c r="A28" s="10"/>
      <c r="B28" s="11"/>
      <c r="C28" s="22"/>
    </row>
    <row r="29" spans="1:3" s="9" customFormat="1" ht="12.75" x14ac:dyDescent="0.2">
      <c r="A29" s="10"/>
      <c r="B29" s="11" t="s">
        <v>56</v>
      </c>
      <c r="C29" s="22"/>
    </row>
    <row r="30" spans="1:3" s="9" customFormat="1" ht="12.75" x14ac:dyDescent="0.2">
      <c r="A30" s="10"/>
      <c r="B30" s="11" t="s">
        <v>59</v>
      </c>
      <c r="C30" s="22"/>
    </row>
    <row r="31" spans="1:3" s="15" customFormat="1" ht="12.75" x14ac:dyDescent="0.2">
      <c r="A31" s="38">
        <v>8800</v>
      </c>
      <c r="B31" s="25" t="s">
        <v>57</v>
      </c>
      <c r="C31" s="39">
        <v>-100234.27</v>
      </c>
    </row>
    <row r="32" spans="1:3" s="15" customFormat="1" ht="12.75" x14ac:dyDescent="0.2">
      <c r="A32" s="38">
        <v>2050</v>
      </c>
      <c r="B32" s="25" t="s">
        <v>58</v>
      </c>
      <c r="C32" s="39">
        <v>-3719687.5</v>
      </c>
    </row>
    <row r="33" spans="1:3" s="9" customFormat="1" ht="12.75" x14ac:dyDescent="0.2">
      <c r="A33" s="40"/>
      <c r="B33" s="27" t="s">
        <v>73</v>
      </c>
      <c r="C33" s="41">
        <f>SUM(C31:C32)</f>
        <v>-3819921.77</v>
      </c>
    </row>
    <row r="34" spans="1:3" s="9" customFormat="1" ht="12.75" x14ac:dyDescent="0.2">
      <c r="A34" s="40"/>
      <c r="B34" s="27" t="s">
        <v>60</v>
      </c>
      <c r="C34" s="41"/>
    </row>
    <row r="35" spans="1:3" s="15" customFormat="1" ht="12.75" x14ac:dyDescent="0.2">
      <c r="A35" s="38">
        <v>2200</v>
      </c>
      <c r="B35" s="25" t="s">
        <v>95</v>
      </c>
      <c r="C35" s="39">
        <v>-746425.36</v>
      </c>
    </row>
    <row r="36" spans="1:3" s="15" customFormat="1" ht="12.75" x14ac:dyDescent="0.2">
      <c r="A36" s="38">
        <v>2231</v>
      </c>
      <c r="B36" s="25" t="s">
        <v>135</v>
      </c>
      <c r="C36" s="39">
        <v>-1993250.36</v>
      </c>
    </row>
    <row r="37" spans="1:3" s="9" customFormat="1" ht="12.75" x14ac:dyDescent="0.2">
      <c r="A37" s="40"/>
      <c r="B37" s="27" t="s">
        <v>62</v>
      </c>
      <c r="C37" s="41">
        <f>SUM(C35:C36)</f>
        <v>-2739675.72</v>
      </c>
    </row>
    <row r="38" spans="1:3" s="15" customFormat="1" ht="12.75" x14ac:dyDescent="0.2">
      <c r="A38" s="38">
        <v>2410</v>
      </c>
      <c r="B38" s="25" t="s">
        <v>61</v>
      </c>
      <c r="C38" s="63">
        <v>-38481.85</v>
      </c>
    </row>
    <row r="39" spans="1:3" s="9" customFormat="1" ht="12.75" x14ac:dyDescent="0.2">
      <c r="A39" s="40"/>
      <c r="B39" s="27" t="s">
        <v>63</v>
      </c>
      <c r="C39" s="41">
        <f>SUM(C38)</f>
        <v>-38481.85</v>
      </c>
    </row>
    <row r="40" spans="1:3" s="15" customFormat="1" ht="12.75" x14ac:dyDescent="0.2">
      <c r="A40" s="38">
        <v>2610</v>
      </c>
      <c r="B40" s="25" t="s">
        <v>64</v>
      </c>
      <c r="C40" s="39">
        <v>0</v>
      </c>
    </row>
    <row r="41" spans="1:3" s="15" customFormat="1" ht="12.75" x14ac:dyDescent="0.2">
      <c r="A41" s="38">
        <v>2780</v>
      </c>
      <c r="B41" s="25" t="s">
        <v>65</v>
      </c>
      <c r="C41" s="63">
        <v>-11.38</v>
      </c>
    </row>
    <row r="42" spans="1:3" s="15" customFormat="1" ht="12.75" x14ac:dyDescent="0.2">
      <c r="A42" s="38">
        <v>2781</v>
      </c>
      <c r="B42" s="25" t="s">
        <v>66</v>
      </c>
      <c r="C42" s="39">
        <v>-2515.58</v>
      </c>
    </row>
    <row r="43" spans="1:3" s="9" customFormat="1" ht="12.75" x14ac:dyDescent="0.2">
      <c r="A43" s="40"/>
      <c r="B43" s="27" t="s">
        <v>67</v>
      </c>
      <c r="C43" s="41">
        <f>SUM(C40:C42)</f>
        <v>-2526.96</v>
      </c>
    </row>
    <row r="44" spans="1:3" x14ac:dyDescent="0.2">
      <c r="A44" s="42">
        <v>2910</v>
      </c>
      <c r="B44" s="34" t="s">
        <v>68</v>
      </c>
      <c r="C44" s="59">
        <v>0</v>
      </c>
    </row>
    <row r="45" spans="1:3" x14ac:dyDescent="0.2">
      <c r="A45" s="42">
        <v>2920</v>
      </c>
      <c r="B45" s="34" t="s">
        <v>69</v>
      </c>
      <c r="C45" s="59">
        <v>-17839.400000000001</v>
      </c>
    </row>
    <row r="46" spans="1:3" x14ac:dyDescent="0.2">
      <c r="A46" s="42">
        <v>2930</v>
      </c>
      <c r="B46" s="34" t="s">
        <v>128</v>
      </c>
      <c r="C46" s="59">
        <v>-114576.61</v>
      </c>
    </row>
    <row r="47" spans="1:3" x14ac:dyDescent="0.2">
      <c r="A47" s="42">
        <v>2931</v>
      </c>
      <c r="B47" s="34" t="s">
        <v>127</v>
      </c>
      <c r="C47" s="59">
        <v>-32186.65</v>
      </c>
    </row>
    <row r="48" spans="1:3" x14ac:dyDescent="0.2">
      <c r="A48" s="42">
        <v>2990</v>
      </c>
      <c r="B48" s="34" t="s">
        <v>103</v>
      </c>
      <c r="C48" s="59">
        <v>0</v>
      </c>
    </row>
    <row r="49" spans="1:3 16381:16381" s="1" customFormat="1" x14ac:dyDescent="0.2">
      <c r="A49" s="43"/>
      <c r="B49" s="35" t="s">
        <v>70</v>
      </c>
      <c r="C49" s="44">
        <f>SUM(C44:C48)</f>
        <v>-164602.66</v>
      </c>
      <c r="XFA49" s="1">
        <f>SUM(A49:XEZ49)</f>
        <v>-164602.66</v>
      </c>
    </row>
    <row r="50" spans="1:3 16381:16381" s="1" customFormat="1" x14ac:dyDescent="0.2">
      <c r="A50" s="43"/>
      <c r="B50" s="35" t="s">
        <v>71</v>
      </c>
      <c r="C50" s="44">
        <f>C37+C39+C43+C49</f>
        <v>-2945287.1900000004</v>
      </c>
    </row>
    <row r="51" spans="1:3 16381:16381" s="9" customFormat="1" ht="13.5" thickBot="1" x14ac:dyDescent="0.25">
      <c r="A51" s="60"/>
      <c r="B51" s="61" t="s">
        <v>72</v>
      </c>
      <c r="C51" s="62">
        <f>C33+C50</f>
        <v>-6765208.9600000009</v>
      </c>
    </row>
    <row r="52" spans="1:3 16381:16381" x14ac:dyDescent="0.2">
      <c r="A52" s="6"/>
      <c r="B52" s="7"/>
      <c r="C52" s="8"/>
    </row>
    <row r="53" spans="1:3 16381:16381" x14ac:dyDescent="0.2">
      <c r="A53" s="6"/>
      <c r="B53" s="7"/>
      <c r="C53" s="8"/>
    </row>
    <row r="54" spans="1:3 16381:16381" ht="12.75" thickBot="1" x14ac:dyDescent="0.25">
      <c r="A54" s="16"/>
      <c r="B54" s="17"/>
      <c r="C54" s="18"/>
    </row>
  </sheetData>
  <pageMargins left="0.7" right="0.7" top="1.3149999999999999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Resultat</vt:lpstr>
      <vt:lpstr>Balanse</vt:lpstr>
      <vt:lpstr>Balanse!Utskriftsområde</vt:lpstr>
      <vt:lpstr>Resultat!Utskriftsområde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Arild Wirgenes</dc:creator>
  <cp:lastModifiedBy>Miliane Haugene</cp:lastModifiedBy>
  <cp:lastPrinted>2020-02-24T12:48:31Z</cp:lastPrinted>
  <dcterms:created xsi:type="dcterms:W3CDTF">2012-02-22T11:30:43Z</dcterms:created>
  <dcterms:modified xsi:type="dcterms:W3CDTF">2020-02-24T12:51:03Z</dcterms:modified>
</cp:coreProperties>
</file>